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3395" windowHeight="9015" activeTab="3"/>
  </bookViews>
  <sheets>
    <sheet name="Level 1-50" sheetId="1" r:id="rId1"/>
    <sheet name="Level 50-100" sheetId="2" r:id="rId2"/>
    <sheet name="Charts" sheetId="3" r:id="rId3"/>
    <sheet name="Bonecrafting" sheetId="4" r:id="rId4"/>
  </sheets>
  <calcPr calcId="125725"/>
</workbook>
</file>

<file path=xl/calcChain.xml><?xml version="1.0" encoding="utf-8"?>
<calcChain xmlns="http://schemas.openxmlformats.org/spreadsheetml/2006/main">
  <c r="O182" i="4"/>
  <c r="O181"/>
  <c r="O180"/>
  <c r="O179"/>
  <c r="O178"/>
  <c r="O177"/>
  <c r="O176"/>
  <c r="O175"/>
  <c r="O174"/>
  <c r="O173"/>
  <c r="O172"/>
  <c r="O171"/>
  <c r="O170"/>
  <c r="O169"/>
  <c r="O168"/>
  <c r="O167"/>
  <c r="O166"/>
  <c r="O165"/>
  <c r="O164"/>
  <c r="O163"/>
  <c r="O162"/>
  <c r="O161"/>
  <c r="O160"/>
  <c r="O159"/>
  <c r="O158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J143"/>
  <c r="I143"/>
  <c r="K148"/>
  <c r="L148"/>
  <c r="H148"/>
  <c r="H147"/>
  <c r="H146"/>
  <c r="H145"/>
  <c r="H144"/>
  <c r="H143"/>
  <c r="J138"/>
  <c r="I138"/>
  <c r="K142"/>
  <c r="L142"/>
  <c r="H142"/>
  <c r="H141"/>
  <c r="H140"/>
  <c r="H139"/>
  <c r="H138"/>
  <c r="J131"/>
  <c r="I131"/>
  <c r="K137"/>
  <c r="L137"/>
  <c r="H137"/>
  <c r="H136"/>
  <c r="H135"/>
  <c r="H134"/>
  <c r="H133"/>
  <c r="H132"/>
  <c r="H131"/>
  <c r="K130"/>
  <c r="L130"/>
  <c r="J124"/>
  <c r="I124"/>
  <c r="H130"/>
  <c r="H129"/>
  <c r="H128"/>
  <c r="H127"/>
  <c r="H126"/>
  <c r="H125"/>
  <c r="H124"/>
  <c r="K123"/>
  <c r="L123"/>
  <c r="J117"/>
  <c r="I117"/>
  <c r="H123"/>
  <c r="H122"/>
  <c r="H121"/>
  <c r="H120"/>
  <c r="H119"/>
  <c r="H118"/>
  <c r="H117"/>
  <c r="J111"/>
  <c r="I111"/>
  <c r="K116"/>
  <c r="L116"/>
  <c r="H116"/>
  <c r="H115"/>
  <c r="H114"/>
  <c r="H113"/>
  <c r="H112"/>
  <c r="H111"/>
  <c r="I105"/>
  <c r="J105"/>
  <c r="K110"/>
  <c r="L110"/>
  <c r="H110"/>
  <c r="H109"/>
  <c r="H108"/>
  <c r="H107"/>
  <c r="H106"/>
  <c r="H105"/>
  <c r="J99"/>
  <c r="I99"/>
  <c r="K104"/>
  <c r="L104"/>
  <c r="H104"/>
  <c r="H103"/>
  <c r="H102"/>
  <c r="H101"/>
  <c r="H100"/>
  <c r="H99"/>
  <c r="J91"/>
  <c r="I91"/>
  <c r="K98"/>
  <c r="L98"/>
  <c r="H98"/>
  <c r="H97"/>
  <c r="H96"/>
  <c r="H95"/>
  <c r="H94"/>
  <c r="H93"/>
  <c r="H92"/>
  <c r="H91"/>
  <c r="J84"/>
  <c r="I84"/>
  <c r="K90"/>
  <c r="L90"/>
  <c r="H90"/>
  <c r="H89"/>
  <c r="H88"/>
  <c r="H87"/>
  <c r="H86"/>
  <c r="H85"/>
  <c r="H84"/>
  <c r="J80"/>
  <c r="I80"/>
  <c r="K83"/>
  <c r="L83"/>
  <c r="H83"/>
  <c r="H82"/>
  <c r="H81"/>
  <c r="H80"/>
  <c r="J74"/>
  <c r="I74"/>
  <c r="K79"/>
  <c r="L79"/>
  <c r="H79"/>
  <c r="H78"/>
  <c r="H77"/>
  <c r="H76"/>
  <c r="H75"/>
  <c r="H74"/>
  <c r="J67"/>
  <c r="I67"/>
  <c r="K73"/>
  <c r="L73"/>
  <c r="H73"/>
  <c r="H72"/>
  <c r="H71"/>
  <c r="H70"/>
  <c r="H69"/>
  <c r="H68"/>
  <c r="H67"/>
  <c r="J62"/>
  <c r="I62"/>
  <c r="K66"/>
  <c r="L66"/>
  <c r="H66"/>
  <c r="H65"/>
  <c r="H64"/>
  <c r="H63"/>
  <c r="H62"/>
  <c r="J57"/>
  <c r="I57"/>
  <c r="K61"/>
  <c r="L61"/>
  <c r="H61"/>
  <c r="H60"/>
  <c r="H59"/>
  <c r="H58"/>
  <c r="H57"/>
  <c r="J52"/>
  <c r="I52"/>
  <c r="K56"/>
  <c r="L56"/>
  <c r="H56"/>
  <c r="H55"/>
  <c r="H54"/>
  <c r="H53"/>
  <c r="H52"/>
  <c r="J47"/>
  <c r="I47"/>
  <c r="K51"/>
  <c r="L51"/>
  <c r="H51"/>
  <c r="H50"/>
  <c r="H49"/>
  <c r="H48"/>
  <c r="H47"/>
  <c r="J41"/>
  <c r="I41"/>
  <c r="H46"/>
  <c r="H45"/>
  <c r="H44"/>
  <c r="H43"/>
  <c r="H42"/>
  <c r="H41"/>
  <c r="K46"/>
  <c r="L46"/>
  <c r="J35"/>
  <c r="I35"/>
  <c r="K40"/>
  <c r="L40"/>
  <c r="H38"/>
  <c r="H37"/>
  <c r="H36"/>
  <c r="H35"/>
  <c r="J28"/>
  <c r="I28"/>
  <c r="K34"/>
  <c r="L34"/>
  <c r="H34"/>
  <c r="H33"/>
  <c r="H32"/>
  <c r="H31"/>
  <c r="H30"/>
  <c r="H29"/>
  <c r="H28"/>
  <c r="K27"/>
  <c r="L27"/>
  <c r="J23"/>
  <c r="I23"/>
  <c r="H27"/>
  <c r="H26"/>
  <c r="H25"/>
  <c r="H24"/>
  <c r="H23"/>
  <c r="K22"/>
  <c r="L22"/>
  <c r="J17"/>
  <c r="I17"/>
  <c r="H22"/>
  <c r="H21"/>
  <c r="H20"/>
  <c r="H19"/>
  <c r="H18"/>
  <c r="H17"/>
  <c r="K16"/>
  <c r="L16"/>
  <c r="J8"/>
  <c r="I8"/>
  <c r="H16"/>
  <c r="H15"/>
  <c r="H14"/>
  <c r="H13"/>
  <c r="H12"/>
  <c r="H11"/>
  <c r="H10"/>
  <c r="H9"/>
  <c r="H8"/>
  <c r="K7"/>
  <c r="L7"/>
  <c r="J2"/>
  <c r="I2"/>
  <c r="H6"/>
  <c r="H7"/>
  <c r="H5"/>
  <c r="H4"/>
  <c r="H3"/>
  <c r="H2"/>
  <c r="H51" i="3"/>
  <c r="D51"/>
  <c r="C51"/>
  <c r="B51"/>
  <c r="H50"/>
  <c r="D50"/>
  <c r="C50"/>
  <c r="B50"/>
  <c r="H49"/>
  <c r="E49"/>
  <c r="D49"/>
  <c r="C49"/>
  <c r="B49"/>
  <c r="H48"/>
  <c r="F48"/>
  <c r="E48"/>
  <c r="D48"/>
  <c r="C48"/>
  <c r="B48"/>
  <c r="H47"/>
  <c r="E47"/>
  <c r="D47"/>
  <c r="C47"/>
  <c r="B47"/>
  <c r="H46"/>
  <c r="F46"/>
  <c r="E46"/>
  <c r="D46"/>
  <c r="C46"/>
  <c r="B46"/>
  <c r="H45"/>
  <c r="E45"/>
  <c r="D45"/>
  <c r="C45"/>
  <c r="B45"/>
  <c r="H44"/>
  <c r="E44"/>
  <c r="D44"/>
  <c r="C44"/>
  <c r="B44"/>
  <c r="H43"/>
  <c r="E43"/>
  <c r="D43"/>
  <c r="C43"/>
  <c r="B43"/>
  <c r="H42"/>
  <c r="E42"/>
  <c r="D42"/>
  <c r="C42"/>
  <c r="B42"/>
  <c r="H41"/>
  <c r="F41"/>
  <c r="E41"/>
  <c r="D41"/>
  <c r="C41"/>
  <c r="B41"/>
  <c r="H40"/>
  <c r="F40"/>
  <c r="E40"/>
  <c r="D40"/>
  <c r="C40"/>
  <c r="B40"/>
  <c r="H39"/>
  <c r="F39"/>
  <c r="E39"/>
  <c r="D39"/>
  <c r="C39"/>
  <c r="B39"/>
  <c r="N45" i="2"/>
  <c r="M45"/>
  <c r="N43"/>
  <c r="M43"/>
  <c r="M41"/>
  <c r="N41"/>
  <c r="N33"/>
  <c r="M33"/>
  <c r="M25"/>
  <c r="N31"/>
  <c r="M31"/>
  <c r="N25"/>
  <c r="M15"/>
  <c r="N23"/>
  <c r="M23"/>
  <c r="N15"/>
  <c r="M7"/>
  <c r="N13"/>
  <c r="M13"/>
  <c r="N39"/>
  <c r="M39"/>
  <c r="N37"/>
  <c r="M37"/>
  <c r="N35"/>
  <c r="M35"/>
  <c r="N29"/>
  <c r="M29"/>
  <c r="N27"/>
  <c r="M27"/>
  <c r="N21"/>
  <c r="M21"/>
  <c r="N19"/>
  <c r="M19"/>
  <c r="J378"/>
  <c r="I378"/>
  <c r="K385"/>
  <c r="L385"/>
  <c r="H385"/>
  <c r="H384"/>
  <c r="H383"/>
  <c r="H382"/>
  <c r="H381"/>
  <c r="H380"/>
  <c r="H379"/>
  <c r="H378"/>
  <c r="J371"/>
  <c r="I371"/>
  <c r="K377"/>
  <c r="L377"/>
  <c r="H377"/>
  <c r="H376"/>
  <c r="H375"/>
  <c r="H374"/>
  <c r="H373"/>
  <c r="H372"/>
  <c r="H371"/>
  <c r="J363"/>
  <c r="I363"/>
  <c r="K370"/>
  <c r="L370"/>
  <c r="H370"/>
  <c r="H369"/>
  <c r="H368"/>
  <c r="H367"/>
  <c r="H366"/>
  <c r="H365"/>
  <c r="H364"/>
  <c r="H363"/>
  <c r="J356"/>
  <c r="I356"/>
  <c r="K362"/>
  <c r="L362"/>
  <c r="H362"/>
  <c r="H361"/>
  <c r="H360"/>
  <c r="H359"/>
  <c r="H358"/>
  <c r="H357"/>
  <c r="H356"/>
  <c r="J349"/>
  <c r="I349"/>
  <c r="K355"/>
  <c r="L355"/>
  <c r="H355"/>
  <c r="H354"/>
  <c r="H353"/>
  <c r="H352"/>
  <c r="H351"/>
  <c r="H350"/>
  <c r="H349"/>
  <c r="J341"/>
  <c r="I341"/>
  <c r="K348"/>
  <c r="L348"/>
  <c r="H348"/>
  <c r="H347"/>
  <c r="H346"/>
  <c r="H345"/>
  <c r="H344"/>
  <c r="H343"/>
  <c r="H342"/>
  <c r="H341"/>
  <c r="J332"/>
  <c r="I332"/>
  <c r="K340"/>
  <c r="L340"/>
  <c r="H340"/>
  <c r="H339"/>
  <c r="H338"/>
  <c r="H337"/>
  <c r="H336"/>
  <c r="H335"/>
  <c r="H334"/>
  <c r="H333"/>
  <c r="H332"/>
  <c r="J324"/>
  <c r="I324"/>
  <c r="K331"/>
  <c r="L331"/>
  <c r="H331"/>
  <c r="H330"/>
  <c r="H329"/>
  <c r="H328"/>
  <c r="H327"/>
  <c r="H326"/>
  <c r="H325"/>
  <c r="H324"/>
  <c r="J316"/>
  <c r="I316"/>
  <c r="K323"/>
  <c r="L323"/>
  <c r="H323"/>
  <c r="H322"/>
  <c r="H321"/>
  <c r="H320"/>
  <c r="H319"/>
  <c r="H318"/>
  <c r="H317"/>
  <c r="H316"/>
  <c r="J309"/>
  <c r="I309"/>
  <c r="K315"/>
  <c r="L315"/>
  <c r="H315"/>
  <c r="H314"/>
  <c r="H313"/>
  <c r="H312"/>
  <c r="H311"/>
  <c r="H310"/>
  <c r="H309"/>
  <c r="J301"/>
  <c r="I301"/>
  <c r="K308"/>
  <c r="L308"/>
  <c r="H308"/>
  <c r="H307"/>
  <c r="H306"/>
  <c r="H305"/>
  <c r="H304"/>
  <c r="H303"/>
  <c r="H302"/>
  <c r="H301"/>
  <c r="J292"/>
  <c r="I292"/>
  <c r="K300"/>
  <c r="L300"/>
  <c r="H300"/>
  <c r="H299"/>
  <c r="H298"/>
  <c r="H297"/>
  <c r="H296"/>
  <c r="H295"/>
  <c r="H294"/>
  <c r="H293"/>
  <c r="H292"/>
  <c r="J285"/>
  <c r="I285"/>
  <c r="K291"/>
  <c r="L291"/>
  <c r="H291"/>
  <c r="H290"/>
  <c r="H289"/>
  <c r="H288"/>
  <c r="H287"/>
  <c r="H286"/>
  <c r="H285"/>
  <c r="J279"/>
  <c r="I279"/>
  <c r="K284"/>
  <c r="L284"/>
  <c r="H284"/>
  <c r="H283"/>
  <c r="H282"/>
  <c r="H281"/>
  <c r="H280"/>
  <c r="H279"/>
  <c r="J273"/>
  <c r="I273"/>
  <c r="K278"/>
  <c r="L278"/>
  <c r="H278"/>
  <c r="H277"/>
  <c r="H276"/>
  <c r="H275"/>
  <c r="H274"/>
  <c r="H273"/>
  <c r="K272"/>
  <c r="L272"/>
  <c r="J265"/>
  <c r="I265"/>
  <c r="H272"/>
  <c r="H271"/>
  <c r="H270"/>
  <c r="H269"/>
  <c r="H268"/>
  <c r="H267"/>
  <c r="H266"/>
  <c r="H265"/>
  <c r="J255"/>
  <c r="I255"/>
  <c r="K264"/>
  <c r="L264"/>
  <c r="H264"/>
  <c r="H263"/>
  <c r="H262"/>
  <c r="H261"/>
  <c r="H260"/>
  <c r="H259"/>
  <c r="H258"/>
  <c r="H257"/>
  <c r="H256"/>
  <c r="H255"/>
  <c r="J248"/>
  <c r="I248"/>
  <c r="K254"/>
  <c r="L254"/>
  <c r="H254"/>
  <c r="H253"/>
  <c r="H252"/>
  <c r="H251"/>
  <c r="H250"/>
  <c r="H249"/>
  <c r="H248"/>
  <c r="J241"/>
  <c r="I241"/>
  <c r="K247"/>
  <c r="L247"/>
  <c r="H247"/>
  <c r="H246"/>
  <c r="H245"/>
  <c r="H244"/>
  <c r="H243"/>
  <c r="H242"/>
  <c r="H241"/>
  <c r="J231"/>
  <c r="I231"/>
  <c r="K240"/>
  <c r="L240"/>
  <c r="H240"/>
  <c r="H239"/>
  <c r="H238"/>
  <c r="H237"/>
  <c r="H236"/>
  <c r="H235"/>
  <c r="H234"/>
  <c r="H233"/>
  <c r="H232"/>
  <c r="H231"/>
  <c r="J222"/>
  <c r="I222"/>
  <c r="K230"/>
  <c r="L230"/>
  <c r="H230"/>
  <c r="H229"/>
  <c r="H228"/>
  <c r="H227"/>
  <c r="H226"/>
  <c r="H225"/>
  <c r="H224"/>
  <c r="H223"/>
  <c r="H222"/>
  <c r="J217"/>
  <c r="I217"/>
  <c r="K221"/>
  <c r="L221"/>
  <c r="H221"/>
  <c r="H220"/>
  <c r="H219"/>
  <c r="H218"/>
  <c r="H217"/>
  <c r="J209"/>
  <c r="I209"/>
  <c r="K216"/>
  <c r="L216"/>
  <c r="H216"/>
  <c r="H215"/>
  <c r="H214"/>
  <c r="H213"/>
  <c r="H212"/>
  <c r="H211"/>
  <c r="H210"/>
  <c r="H209"/>
  <c r="J204"/>
  <c r="I204"/>
  <c r="K208"/>
  <c r="L208"/>
  <c r="H208"/>
  <c r="H207"/>
  <c r="H206"/>
  <c r="H205"/>
  <c r="H204"/>
  <c r="K203"/>
  <c r="L203"/>
  <c r="J195"/>
  <c r="I195"/>
  <c r="H203"/>
  <c r="H202"/>
  <c r="H201"/>
  <c r="H200"/>
  <c r="H199"/>
  <c r="H198"/>
  <c r="H197"/>
  <c r="H196"/>
  <c r="H195"/>
  <c r="J186"/>
  <c r="I186"/>
  <c r="K194"/>
  <c r="L194"/>
  <c r="H194"/>
  <c r="H193"/>
  <c r="H192"/>
  <c r="H191"/>
  <c r="H190"/>
  <c r="H189"/>
  <c r="H188"/>
  <c r="H187"/>
  <c r="H186"/>
  <c r="J177"/>
  <c r="I177"/>
  <c r="J168"/>
  <c r="I168"/>
  <c r="K185"/>
  <c r="L185"/>
  <c r="H185"/>
  <c r="H184"/>
  <c r="H183"/>
  <c r="H182"/>
  <c r="H181"/>
  <c r="H180"/>
  <c r="H179"/>
  <c r="H178"/>
  <c r="H177"/>
  <c r="K176"/>
  <c r="L176"/>
  <c r="H176"/>
  <c r="H175"/>
  <c r="H174"/>
  <c r="H173"/>
  <c r="H172"/>
  <c r="H171"/>
  <c r="H170"/>
  <c r="H169"/>
  <c r="H168"/>
  <c r="N17"/>
  <c r="M17"/>
  <c r="J160"/>
  <c r="I160"/>
  <c r="K167"/>
  <c r="L167"/>
  <c r="H167"/>
  <c r="H166"/>
  <c r="H165"/>
  <c r="H164"/>
  <c r="H163"/>
  <c r="H162"/>
  <c r="H161"/>
  <c r="H160"/>
  <c r="J154"/>
  <c r="I154"/>
  <c r="K159"/>
  <c r="L159"/>
  <c r="H159"/>
  <c r="H158"/>
  <c r="H157"/>
  <c r="H156"/>
  <c r="H155"/>
  <c r="H154"/>
  <c r="J145"/>
  <c r="I145"/>
  <c r="K153"/>
  <c r="L153"/>
  <c r="H153"/>
  <c r="H152"/>
  <c r="H151"/>
  <c r="H150"/>
  <c r="H149"/>
  <c r="H148"/>
  <c r="H147"/>
  <c r="H146"/>
  <c r="H145"/>
  <c r="J139"/>
  <c r="I139"/>
  <c r="K144"/>
  <c r="L144"/>
  <c r="H144"/>
  <c r="H143"/>
  <c r="H142"/>
  <c r="H141"/>
  <c r="H140"/>
  <c r="H139"/>
  <c r="N11"/>
  <c r="M11"/>
  <c r="J131"/>
  <c r="I131"/>
  <c r="K138"/>
  <c r="L138"/>
  <c r="H138"/>
  <c r="H137"/>
  <c r="H136"/>
  <c r="H135"/>
  <c r="H134"/>
  <c r="H133"/>
  <c r="H132"/>
  <c r="H131"/>
  <c r="J122"/>
  <c r="I122"/>
  <c r="K130"/>
  <c r="L130"/>
  <c r="H130"/>
  <c r="H129"/>
  <c r="H128"/>
  <c r="H127"/>
  <c r="H126"/>
  <c r="H125"/>
  <c r="H124"/>
  <c r="H123"/>
  <c r="H122"/>
  <c r="J114"/>
  <c r="I114"/>
  <c r="K121"/>
  <c r="L121"/>
  <c r="H121"/>
  <c r="H120"/>
  <c r="H119"/>
  <c r="H118"/>
  <c r="H117"/>
  <c r="H116"/>
  <c r="H115"/>
  <c r="H114"/>
  <c r="J107"/>
  <c r="I107"/>
  <c r="K113"/>
  <c r="L113"/>
  <c r="H113"/>
  <c r="H112"/>
  <c r="H111"/>
  <c r="H110"/>
  <c r="H109"/>
  <c r="H108"/>
  <c r="H107"/>
  <c r="N9"/>
  <c r="M9"/>
  <c r="N7"/>
  <c r="N5"/>
  <c r="M5"/>
  <c r="N3"/>
  <c r="M3"/>
  <c r="J97"/>
  <c r="I97"/>
  <c r="K106"/>
  <c r="L106"/>
  <c r="H106"/>
  <c r="H105"/>
  <c r="H104"/>
  <c r="H103"/>
  <c r="H102"/>
  <c r="H101"/>
  <c r="H100"/>
  <c r="H99"/>
  <c r="H98"/>
  <c r="H97"/>
  <c r="J89"/>
  <c r="I89"/>
  <c r="K96"/>
  <c r="L96"/>
  <c r="H96"/>
  <c r="H95"/>
  <c r="H94"/>
  <c r="H93"/>
  <c r="H92"/>
  <c r="H91"/>
  <c r="H90"/>
  <c r="H89"/>
  <c r="J82"/>
  <c r="I82"/>
  <c r="K88"/>
  <c r="L88"/>
  <c r="H88"/>
  <c r="H87"/>
  <c r="H86"/>
  <c r="H85"/>
  <c r="H84"/>
  <c r="H83"/>
  <c r="H82"/>
  <c r="J72"/>
  <c r="I72"/>
  <c r="K81"/>
  <c r="L81"/>
  <c r="H81"/>
  <c r="H80"/>
  <c r="H79"/>
  <c r="H78"/>
  <c r="H77"/>
  <c r="H76"/>
  <c r="H75"/>
  <c r="H74"/>
  <c r="H73"/>
  <c r="H72"/>
  <c r="J64"/>
  <c r="I64"/>
  <c r="K71"/>
  <c r="L71"/>
  <c r="H71"/>
  <c r="H70"/>
  <c r="H69"/>
  <c r="H68"/>
  <c r="H67"/>
  <c r="H66"/>
  <c r="H65"/>
  <c r="H64"/>
  <c r="I57"/>
  <c r="J57"/>
  <c r="K63"/>
  <c r="L63"/>
  <c r="H63"/>
  <c r="H62"/>
  <c r="H61"/>
  <c r="H60"/>
  <c r="H59"/>
  <c r="H58"/>
  <c r="H57"/>
  <c r="J51"/>
  <c r="I51"/>
  <c r="K56"/>
  <c r="L56"/>
  <c r="H56"/>
  <c r="H55"/>
  <c r="H54"/>
  <c r="H53"/>
  <c r="H52"/>
  <c r="H51"/>
  <c r="J42"/>
  <c r="I42"/>
  <c r="K50"/>
  <c r="L50"/>
  <c r="H50"/>
  <c r="H49"/>
  <c r="H48"/>
  <c r="H47"/>
  <c r="H46"/>
  <c r="H45"/>
  <c r="H44"/>
  <c r="H43"/>
  <c r="H42"/>
  <c r="J38"/>
  <c r="I38"/>
  <c r="K41"/>
  <c r="L41"/>
  <c r="H41"/>
  <c r="H40"/>
  <c r="H39"/>
  <c r="H38"/>
  <c r="J31"/>
  <c r="I31"/>
  <c r="I23"/>
  <c r="J23"/>
  <c r="K37"/>
  <c r="L37"/>
  <c r="H37"/>
  <c r="H36"/>
  <c r="H35"/>
  <c r="H34"/>
  <c r="H33"/>
  <c r="H32"/>
  <c r="H31"/>
  <c r="K30"/>
  <c r="L30"/>
  <c r="H30"/>
  <c r="H29"/>
  <c r="H28"/>
  <c r="H27"/>
  <c r="H26"/>
  <c r="H25"/>
  <c r="H24"/>
  <c r="H23"/>
  <c r="I7"/>
  <c r="I14"/>
  <c r="J14"/>
  <c r="L22"/>
  <c r="K22"/>
  <c r="H22"/>
  <c r="H21"/>
  <c r="H20"/>
  <c r="H19"/>
  <c r="H18"/>
  <c r="H17"/>
  <c r="H16"/>
  <c r="H15"/>
  <c r="H14"/>
  <c r="J7"/>
  <c r="K13"/>
  <c r="L13"/>
  <c r="H13"/>
  <c r="H12"/>
  <c r="H11"/>
  <c r="H10"/>
  <c r="H9"/>
  <c r="H8"/>
  <c r="H7"/>
  <c r="J2"/>
  <c r="I2"/>
  <c r="K6"/>
  <c r="L6"/>
  <c r="H6"/>
  <c r="H5"/>
  <c r="H4"/>
  <c r="H3"/>
  <c r="H2"/>
  <c r="B2" i="3"/>
  <c r="C2"/>
  <c r="C14"/>
  <c r="D2"/>
  <c r="E2"/>
  <c r="H2"/>
  <c r="H13"/>
  <c r="F2"/>
  <c r="G2"/>
  <c r="H14"/>
  <c r="H12"/>
  <c r="H11"/>
  <c r="H10"/>
  <c r="H9"/>
  <c r="H8"/>
  <c r="H7"/>
  <c r="H6"/>
  <c r="H5"/>
  <c r="H4"/>
  <c r="H3"/>
  <c r="G14"/>
  <c r="F14"/>
  <c r="E14"/>
  <c r="D14"/>
  <c r="B14"/>
  <c r="C13"/>
  <c r="B13"/>
  <c r="F12"/>
  <c r="E12"/>
  <c r="D12"/>
  <c r="C12"/>
  <c r="B12"/>
  <c r="D11"/>
  <c r="C11"/>
  <c r="B11"/>
  <c r="F10"/>
  <c r="E10"/>
  <c r="D10"/>
  <c r="C10"/>
  <c r="B10"/>
  <c r="E9"/>
  <c r="D9"/>
  <c r="C9"/>
  <c r="B9"/>
  <c r="F8"/>
  <c r="E8"/>
  <c r="D8"/>
  <c r="C8"/>
  <c r="B8"/>
  <c r="G7"/>
  <c r="F7"/>
  <c r="E7"/>
  <c r="D7"/>
  <c r="C7"/>
  <c r="B7"/>
  <c r="E6"/>
  <c r="D6"/>
  <c r="C6"/>
  <c r="B6"/>
  <c r="E5"/>
  <c r="D5"/>
  <c r="C5"/>
  <c r="B5"/>
  <c r="D4"/>
  <c r="C4"/>
  <c r="B4"/>
  <c r="D3"/>
  <c r="C3"/>
  <c r="B3"/>
  <c r="N43" i="1"/>
  <c r="M43"/>
  <c r="N41"/>
  <c r="M41"/>
  <c r="N39"/>
  <c r="M39"/>
  <c r="K384"/>
  <c r="L384"/>
  <c r="J378"/>
  <c r="I378"/>
  <c r="H384"/>
  <c r="H383"/>
  <c r="H382"/>
  <c r="H381"/>
  <c r="H380"/>
  <c r="H379"/>
  <c r="H378"/>
  <c r="K377"/>
  <c r="L377"/>
  <c r="J369"/>
  <c r="I369"/>
  <c r="H377"/>
  <c r="H376"/>
  <c r="H375"/>
  <c r="H374"/>
  <c r="H373"/>
  <c r="H372"/>
  <c r="H371"/>
  <c r="H370"/>
  <c r="H369"/>
  <c r="K368"/>
  <c r="L368"/>
  <c r="J362"/>
  <c r="I362"/>
  <c r="H368"/>
  <c r="H367"/>
  <c r="H366"/>
  <c r="H365"/>
  <c r="H364"/>
  <c r="H363"/>
  <c r="H362"/>
  <c r="K361"/>
  <c r="L361"/>
  <c r="J354"/>
  <c r="I354"/>
  <c r="H361"/>
  <c r="H360"/>
  <c r="H359"/>
  <c r="H358"/>
  <c r="H357"/>
  <c r="H356"/>
  <c r="H355"/>
  <c r="H354"/>
  <c r="J348"/>
  <c r="I348"/>
  <c r="K353"/>
  <c r="L353"/>
  <c r="H353"/>
  <c r="H352"/>
  <c r="H351"/>
  <c r="H350"/>
  <c r="H349"/>
  <c r="H348"/>
  <c r="K347"/>
  <c r="L347"/>
  <c r="J343"/>
  <c r="I343"/>
  <c r="J342"/>
  <c r="I342"/>
  <c r="H347"/>
  <c r="H346"/>
  <c r="H345"/>
  <c r="H344"/>
  <c r="H343"/>
  <c r="H342"/>
  <c r="N37"/>
  <c r="M37"/>
  <c r="K341"/>
  <c r="L341"/>
  <c r="J332"/>
  <c r="I332"/>
  <c r="H341"/>
  <c r="H340"/>
  <c r="H339"/>
  <c r="H338"/>
  <c r="H337"/>
  <c r="H336"/>
  <c r="H335"/>
  <c r="H334"/>
  <c r="H333"/>
  <c r="H332"/>
  <c r="K331"/>
  <c r="L331"/>
  <c r="J324"/>
  <c r="I324"/>
  <c r="H331"/>
  <c r="H330"/>
  <c r="H329"/>
  <c r="H328"/>
  <c r="H327"/>
  <c r="H326"/>
  <c r="H325"/>
  <c r="H324"/>
  <c r="N35"/>
  <c r="M35"/>
  <c r="N33"/>
  <c r="M33"/>
  <c r="N31"/>
  <c r="M31"/>
  <c r="K323"/>
  <c r="L323"/>
  <c r="I315"/>
  <c r="J315"/>
  <c r="H323"/>
  <c r="H322"/>
  <c r="H321"/>
  <c r="H320"/>
  <c r="H319"/>
  <c r="H318"/>
  <c r="H317"/>
  <c r="H316"/>
  <c r="H315"/>
  <c r="I306"/>
  <c r="J306"/>
  <c r="K314"/>
  <c r="L314"/>
  <c r="H314"/>
  <c r="H313"/>
  <c r="H312"/>
  <c r="H311"/>
  <c r="H310"/>
  <c r="H309"/>
  <c r="H308"/>
  <c r="H307"/>
  <c r="H306"/>
  <c r="J299"/>
  <c r="I299"/>
  <c r="K305"/>
  <c r="L305"/>
  <c r="H305"/>
  <c r="H304"/>
  <c r="H303"/>
  <c r="H302"/>
  <c r="H301"/>
  <c r="H300"/>
  <c r="H299"/>
  <c r="J291"/>
  <c r="I291"/>
  <c r="K298"/>
  <c r="L298"/>
  <c r="H298"/>
  <c r="H297"/>
  <c r="H296"/>
  <c r="H295"/>
  <c r="H294"/>
  <c r="H293"/>
  <c r="H292"/>
  <c r="H291"/>
  <c r="J286"/>
  <c r="I286"/>
  <c r="K290"/>
  <c r="L290"/>
  <c r="H290"/>
  <c r="H289"/>
  <c r="H288"/>
  <c r="H287"/>
  <c r="H286"/>
  <c r="N29"/>
  <c r="M29"/>
  <c r="J279"/>
  <c r="I279"/>
  <c r="K285"/>
  <c r="L285"/>
  <c r="H285"/>
  <c r="H284"/>
  <c r="H283"/>
  <c r="H282"/>
  <c r="H281"/>
  <c r="H280"/>
  <c r="H279"/>
  <c r="J270"/>
  <c r="I270"/>
  <c r="K278"/>
  <c r="L278"/>
  <c r="H278"/>
  <c r="H277"/>
  <c r="H276"/>
  <c r="H275"/>
  <c r="H274"/>
  <c r="H273"/>
  <c r="H272"/>
  <c r="H271"/>
  <c r="H270"/>
  <c r="J263"/>
  <c r="I263"/>
  <c r="K269"/>
  <c r="L269"/>
  <c r="H269"/>
  <c r="H268"/>
  <c r="H267"/>
  <c r="H266"/>
  <c r="H265"/>
  <c r="H264"/>
  <c r="H263"/>
  <c r="N27"/>
  <c r="M27"/>
  <c r="J254"/>
  <c r="I254"/>
  <c r="K262"/>
  <c r="L262"/>
  <c r="H262"/>
  <c r="H261"/>
  <c r="H260"/>
  <c r="H259"/>
  <c r="H258"/>
  <c r="H257"/>
  <c r="H256"/>
  <c r="H255"/>
  <c r="H254"/>
  <c r="J248"/>
  <c r="I248"/>
  <c r="K253"/>
  <c r="L253"/>
  <c r="H253"/>
  <c r="H252"/>
  <c r="H251"/>
  <c r="H250"/>
  <c r="H249"/>
  <c r="H248"/>
  <c r="J240"/>
  <c r="I240"/>
  <c r="K247"/>
  <c r="L247"/>
  <c r="H247"/>
  <c r="H246"/>
  <c r="H245"/>
  <c r="H244"/>
  <c r="H243"/>
  <c r="H242"/>
  <c r="H241"/>
  <c r="H240"/>
  <c r="M25"/>
  <c r="N25"/>
  <c r="M17"/>
  <c r="N23"/>
  <c r="M23"/>
  <c r="J234"/>
  <c r="I234"/>
  <c r="K239"/>
  <c r="L239"/>
  <c r="H239"/>
  <c r="H238"/>
  <c r="H237"/>
  <c r="H236"/>
  <c r="H235"/>
  <c r="H234"/>
  <c r="J227"/>
  <c r="I227"/>
  <c r="K233"/>
  <c r="L233"/>
  <c r="H233"/>
  <c r="H232"/>
  <c r="H231"/>
  <c r="H230"/>
  <c r="H229"/>
  <c r="H228"/>
  <c r="H227"/>
  <c r="N21"/>
  <c r="M21"/>
  <c r="J219"/>
  <c r="I219"/>
  <c r="K226"/>
  <c r="L226"/>
  <c r="H226"/>
  <c r="H225"/>
  <c r="H224"/>
  <c r="H223"/>
  <c r="H222"/>
  <c r="H221"/>
  <c r="H220"/>
  <c r="H219"/>
  <c r="J211"/>
  <c r="I211"/>
  <c r="K218"/>
  <c r="L218"/>
  <c r="H218"/>
  <c r="H217"/>
  <c r="H216"/>
  <c r="H215"/>
  <c r="H214"/>
  <c r="H213"/>
  <c r="H212"/>
  <c r="H211"/>
  <c r="K210"/>
  <c r="L210"/>
  <c r="J202"/>
  <c r="I202"/>
  <c r="H210"/>
  <c r="H209"/>
  <c r="H208"/>
  <c r="H207"/>
  <c r="H206"/>
  <c r="H205"/>
  <c r="H204"/>
  <c r="H203"/>
  <c r="H202"/>
  <c r="K201"/>
  <c r="L201"/>
  <c r="J196"/>
  <c r="I196"/>
  <c r="H201"/>
  <c r="H200"/>
  <c r="H199"/>
  <c r="H198"/>
  <c r="H197"/>
  <c r="H196"/>
  <c r="N19"/>
  <c r="M19"/>
  <c r="J188"/>
  <c r="I188"/>
  <c r="K195"/>
  <c r="L195"/>
  <c r="H195"/>
  <c r="H194"/>
  <c r="H193"/>
  <c r="H192"/>
  <c r="H191"/>
  <c r="H190"/>
  <c r="H189"/>
  <c r="H188"/>
  <c r="J180"/>
  <c r="I180"/>
  <c r="K187"/>
  <c r="L187"/>
  <c r="H187"/>
  <c r="H186"/>
  <c r="H185"/>
  <c r="H184"/>
  <c r="H183"/>
  <c r="H182"/>
  <c r="H181"/>
  <c r="H180"/>
  <c r="J171"/>
  <c r="I171"/>
  <c r="K179"/>
  <c r="L179"/>
  <c r="H179"/>
  <c r="H178"/>
  <c r="H177"/>
  <c r="H176"/>
  <c r="H175"/>
  <c r="H174"/>
  <c r="H173"/>
  <c r="H172"/>
  <c r="H171"/>
  <c r="J165"/>
  <c r="I165"/>
  <c r="J159"/>
  <c r="I159"/>
  <c r="K170"/>
  <c r="K164"/>
  <c r="L170"/>
  <c r="L164"/>
  <c r="H170"/>
  <c r="H169"/>
  <c r="H168"/>
  <c r="H167"/>
  <c r="H166"/>
  <c r="H165"/>
  <c r="H164"/>
  <c r="H163"/>
  <c r="H162"/>
  <c r="H161"/>
  <c r="H160"/>
  <c r="H159"/>
  <c r="N17"/>
  <c r="N15"/>
  <c r="M15"/>
  <c r="N13"/>
  <c r="M13"/>
  <c r="K158"/>
  <c r="L158"/>
  <c r="K149"/>
  <c r="L149"/>
  <c r="J150"/>
  <c r="I150"/>
  <c r="J141"/>
  <c r="I141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K140"/>
  <c r="L140"/>
  <c r="K133"/>
  <c r="L133"/>
  <c r="K123"/>
  <c r="L123"/>
  <c r="J134"/>
  <c r="I134"/>
  <c r="J124"/>
  <c r="I124"/>
  <c r="J119"/>
  <c r="I119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J115"/>
  <c r="I115"/>
  <c r="J114"/>
  <c r="I114"/>
  <c r="L118"/>
  <c r="K118"/>
  <c r="H118"/>
  <c r="H117"/>
  <c r="H116"/>
  <c r="H115"/>
  <c r="H114"/>
  <c r="N11"/>
  <c r="M11"/>
  <c r="K113"/>
  <c r="L113"/>
  <c r="J105"/>
  <c r="I105"/>
  <c r="H113"/>
  <c r="H112"/>
  <c r="H111"/>
  <c r="H110"/>
  <c r="H109"/>
  <c r="H108"/>
  <c r="H107"/>
  <c r="H106"/>
  <c r="H105"/>
  <c r="L104"/>
  <c r="K104"/>
  <c r="J96"/>
  <c r="I96"/>
  <c r="H104"/>
  <c r="H103"/>
  <c r="H102"/>
  <c r="H101"/>
  <c r="H100"/>
  <c r="H99"/>
  <c r="H98"/>
  <c r="H97"/>
  <c r="H96"/>
  <c r="L95"/>
  <c r="K95"/>
  <c r="J89"/>
  <c r="I89"/>
  <c r="H95"/>
  <c r="H94"/>
  <c r="H93"/>
  <c r="H92"/>
  <c r="H91"/>
  <c r="H90"/>
  <c r="H89"/>
  <c r="L88"/>
  <c r="K88"/>
  <c r="J82"/>
  <c r="I82"/>
  <c r="H88"/>
  <c r="H87"/>
  <c r="H86"/>
  <c r="H85"/>
  <c r="H84"/>
  <c r="H83"/>
  <c r="H82"/>
  <c r="N9"/>
  <c r="M9"/>
  <c r="N7"/>
  <c r="M7"/>
  <c r="N5"/>
  <c r="M5"/>
  <c r="N3"/>
  <c r="M3"/>
  <c r="L81"/>
  <c r="K81"/>
  <c r="J74"/>
  <c r="I74"/>
  <c r="H81"/>
  <c r="H80"/>
  <c r="H79"/>
  <c r="H78"/>
  <c r="H77"/>
  <c r="H76"/>
  <c r="H75"/>
  <c r="H74"/>
  <c r="L73"/>
  <c r="K73"/>
  <c r="J67"/>
  <c r="I67"/>
  <c r="H73"/>
  <c r="H72"/>
  <c r="H71"/>
  <c r="H70"/>
  <c r="H69"/>
  <c r="H68"/>
  <c r="H67"/>
  <c r="L66"/>
  <c r="K66"/>
  <c r="J58"/>
  <c r="I58"/>
  <c r="H66"/>
  <c r="H65"/>
  <c r="H64"/>
  <c r="H63"/>
  <c r="H62"/>
  <c r="H61"/>
  <c r="H60"/>
  <c r="H59"/>
  <c r="H58"/>
  <c r="L57"/>
  <c r="K57"/>
  <c r="J52"/>
  <c r="I52"/>
  <c r="H57"/>
  <c r="H56"/>
  <c r="H55"/>
  <c r="H54"/>
  <c r="H53"/>
  <c r="H52"/>
  <c r="J42"/>
  <c r="I42"/>
  <c r="L51"/>
  <c r="K51"/>
  <c r="H51"/>
  <c r="H50"/>
  <c r="H49"/>
  <c r="H48"/>
  <c r="H47"/>
  <c r="H46"/>
  <c r="H45"/>
  <c r="H44"/>
  <c r="H43"/>
  <c r="H42"/>
  <c r="J35"/>
  <c r="I35"/>
  <c r="L41"/>
  <c r="K41"/>
  <c r="H41"/>
  <c r="H40"/>
  <c r="H39"/>
  <c r="H38"/>
  <c r="H37"/>
  <c r="H36"/>
  <c r="H35"/>
  <c r="J27"/>
  <c r="J18"/>
  <c r="J11"/>
  <c r="J2"/>
  <c r="L34"/>
  <c r="K34"/>
  <c r="L26"/>
  <c r="K26"/>
  <c r="I27"/>
  <c r="H34"/>
  <c r="H33"/>
  <c r="H32"/>
  <c r="H31"/>
  <c r="H30"/>
  <c r="H29"/>
  <c r="H28"/>
  <c r="H27"/>
  <c r="I18"/>
  <c r="H26"/>
  <c r="H25"/>
  <c r="H24"/>
  <c r="H23"/>
  <c r="H22"/>
  <c r="H21"/>
  <c r="H20"/>
  <c r="H19"/>
  <c r="H18"/>
  <c r="I11"/>
  <c r="I2"/>
  <c r="K17"/>
  <c r="L17"/>
  <c r="H17"/>
  <c r="H16"/>
  <c r="H15"/>
  <c r="H14"/>
  <c r="H13"/>
  <c r="H12"/>
  <c r="H11"/>
  <c r="L10"/>
  <c r="K10"/>
  <c r="H10"/>
  <c r="H9"/>
  <c r="H8"/>
  <c r="H7"/>
  <c r="H6"/>
  <c r="H5"/>
  <c r="H4"/>
  <c r="H3"/>
  <c r="H2"/>
</calcChain>
</file>

<file path=xl/sharedStrings.xml><?xml version="1.0" encoding="utf-8"?>
<sst xmlns="http://schemas.openxmlformats.org/spreadsheetml/2006/main" count="487" uniqueCount="163">
  <si>
    <t>Craft Level</t>
  </si>
  <si>
    <t>Skill Up</t>
  </si>
  <si>
    <t>Success</t>
  </si>
  <si>
    <t>Failure</t>
  </si>
  <si>
    <t>Craft Cap</t>
  </si>
  <si>
    <t>% of Skill</t>
  </si>
  <si>
    <t>% of level</t>
  </si>
  <si>
    <t>Total</t>
  </si>
  <si>
    <r>
      <t xml:space="preserve">Crystal </t>
    </r>
    <r>
      <rPr>
        <sz val="11"/>
        <color theme="1"/>
        <rFont val="Wingdings"/>
        <charset val="2"/>
      </rPr>
      <t>ü</t>
    </r>
  </si>
  <si>
    <r>
      <t xml:space="preserve">Synth </t>
    </r>
    <r>
      <rPr>
        <sz val="11"/>
        <color theme="1"/>
        <rFont val="Wingdings"/>
        <charset val="2"/>
      </rPr>
      <t>ü</t>
    </r>
  </si>
  <si>
    <t>Recipe</t>
  </si>
  <si>
    <t>Carrot Broth</t>
  </si>
  <si>
    <t>Cap -3</t>
  </si>
  <si>
    <t>Cap -2</t>
  </si>
  <si>
    <t>Cap -1</t>
  </si>
  <si>
    <t>Hard Boiled Egg</t>
  </si>
  <si>
    <t>% of Skill Up</t>
  </si>
  <si>
    <t>Orange Juice</t>
  </si>
  <si>
    <t>Cap -4</t>
  </si>
  <si>
    <t xml:space="preserve">Orange Juice </t>
  </si>
  <si>
    <t>Carrot Broth %</t>
  </si>
  <si>
    <t>Carrot Broth Skill %</t>
  </si>
  <si>
    <t>Hard Boiled Egg %</t>
  </si>
  <si>
    <t>Hard Boiled Egg Skill %</t>
  </si>
  <si>
    <t>Orange Juice %</t>
  </si>
  <si>
    <t>Orange Juice Skill %</t>
  </si>
  <si>
    <t>Level 1-10 Skill %</t>
  </si>
  <si>
    <t>Level 1-10%</t>
  </si>
  <si>
    <t>Tortilla</t>
  </si>
  <si>
    <t>Tortilla %</t>
  </si>
  <si>
    <t>Tortilla Skill %</t>
  </si>
  <si>
    <t>Selbina Butter</t>
  </si>
  <si>
    <t>Cap -6</t>
  </si>
  <si>
    <t>Cap -5</t>
  </si>
  <si>
    <t>Selbina Butter %</t>
  </si>
  <si>
    <t>Selbina Butter Skill %</t>
  </si>
  <si>
    <t>Level 11-20 Skill %</t>
  </si>
  <si>
    <t>Level 11-20 %</t>
  </si>
  <si>
    <t>Level 1-20 %</t>
  </si>
  <si>
    <t>Level 1-20 Skill %</t>
  </si>
  <si>
    <t>Roast Coffee Beans</t>
  </si>
  <si>
    <t>Roast Coffee Beans %</t>
  </si>
  <si>
    <t>Roast Coffee Beans Skill %</t>
  </si>
  <si>
    <t>Insect Ball</t>
  </si>
  <si>
    <t>Insect Ball %</t>
  </si>
  <si>
    <t>Insect Ball Skill %</t>
  </si>
  <si>
    <t>Iron Bread</t>
  </si>
  <si>
    <t>Level 21-30 %</t>
  </si>
  <si>
    <t>Level 21-30 Skill %</t>
  </si>
  <si>
    <t>Level 1-30 %</t>
  </si>
  <si>
    <t>Level 1-30 Skill %</t>
  </si>
  <si>
    <t>Iron Bread %</t>
  </si>
  <si>
    <t>Iron Bread Skill %</t>
  </si>
  <si>
    <t>Dancing Herbal Broth</t>
  </si>
  <si>
    <t>Dancing Herbal Broth %</t>
  </si>
  <si>
    <t>Dancing Herbal Broth Skill %</t>
  </si>
  <si>
    <t>Pie Dough</t>
  </si>
  <si>
    <t>Level 31-40 %</t>
  </si>
  <si>
    <t>Level 31-40 Skill %</t>
  </si>
  <si>
    <t>Level 1-40 %</t>
  </si>
  <si>
    <t>Level 1-40 Skill %</t>
  </si>
  <si>
    <t>Pie Dough %</t>
  </si>
  <si>
    <t>Pie Dough Skill %</t>
  </si>
  <si>
    <t xml:space="preserve">White Bread </t>
  </si>
  <si>
    <t>White Bread %</t>
  </si>
  <si>
    <t>White Bread Skill %</t>
  </si>
  <si>
    <t>Grape Juice %</t>
  </si>
  <si>
    <t>Grape Juice Skill %</t>
  </si>
  <si>
    <t>Level 41-50 %</t>
  </si>
  <si>
    <t>Level 41-50 Skill %</t>
  </si>
  <si>
    <t>Level 1-50 %</t>
  </si>
  <si>
    <t>Level 1-50 Skill %</t>
  </si>
  <si>
    <t xml:space="preserve">Grape Juice </t>
  </si>
  <si>
    <t>Torilla</t>
  </si>
  <si>
    <t>White Bread</t>
  </si>
  <si>
    <t>Grape Juice</t>
  </si>
  <si>
    <t>Average</t>
  </si>
  <si>
    <t>Notes</t>
  </si>
  <si>
    <t>Level 1-50 Skill = 66-75% Chance to skill</t>
  </si>
  <si>
    <t>(Reddit/Bluegaytr/Bgwiki)</t>
  </si>
  <si>
    <t>Level 51-100+ Skill = 25-33% Chance to skill</t>
  </si>
  <si>
    <t>Beaugreen Sautee</t>
  </si>
  <si>
    <t>Beaugreen Sautee %</t>
  </si>
  <si>
    <t>Beaugreen Sautee Skill %</t>
  </si>
  <si>
    <t>Yagudo Drink</t>
  </si>
  <si>
    <t>Melon Pie</t>
  </si>
  <si>
    <t>Colored Egg</t>
  </si>
  <si>
    <t>Pear au Lait</t>
  </si>
  <si>
    <t>Pamama au Lait</t>
  </si>
  <si>
    <t>Rolanberry Pie</t>
  </si>
  <si>
    <t>Hedgehog Pie</t>
  </si>
  <si>
    <t>Dawn Mulsum</t>
  </si>
  <si>
    <t>Red Curry</t>
  </si>
  <si>
    <t>Multiplier "standard" 2.6</t>
  </si>
  <si>
    <t>All myths disabled</t>
  </si>
  <si>
    <t>All crafting facing South</t>
  </si>
  <si>
    <t>Beaugreen Saute</t>
  </si>
  <si>
    <t xml:space="preserve">Cap -4 </t>
  </si>
  <si>
    <t>Yagudo Drink %</t>
  </si>
  <si>
    <t>Yagudo Drink Skill %</t>
  </si>
  <si>
    <t>Level 50-60 Skill %</t>
  </si>
  <si>
    <t>Melon Pie %</t>
  </si>
  <si>
    <t>Melon Pie Skill %</t>
  </si>
  <si>
    <t>Green Curry</t>
  </si>
  <si>
    <t>Pumpkin Pie</t>
  </si>
  <si>
    <t>Colored Egg %</t>
  </si>
  <si>
    <t>Colored Egg Skill %</t>
  </si>
  <si>
    <t>Level 60-70 Skill %</t>
  </si>
  <si>
    <t>Level 50-60 %</t>
  </si>
  <si>
    <t>Level 60-70 %</t>
  </si>
  <si>
    <t>Level 50-70 %</t>
  </si>
  <si>
    <t>Level 50-70 Skill %</t>
  </si>
  <si>
    <t>Pear au Lait %</t>
  </si>
  <si>
    <t>Pear au Lait Skill %</t>
  </si>
  <si>
    <t>Green Curry %</t>
  </si>
  <si>
    <t>Green Curry Skill %</t>
  </si>
  <si>
    <t>Pamama au Lait %</t>
  </si>
  <si>
    <t>Pamama au Lait Skill %</t>
  </si>
  <si>
    <t>Level 70-80 %</t>
  </si>
  <si>
    <t>Level 50-80 %</t>
  </si>
  <si>
    <t>Level 70-80 Skill %</t>
  </si>
  <si>
    <t>Level 50-80 Skill %</t>
  </si>
  <si>
    <t>Pumpkin Pie %</t>
  </si>
  <si>
    <t>Pumpkin Pie Skill %</t>
  </si>
  <si>
    <t>Rolanberry Pie %</t>
  </si>
  <si>
    <t>Rolanberry Pie Skill %</t>
  </si>
  <si>
    <t>Level 80-90 %</t>
  </si>
  <si>
    <t>Level 80-90 Skill %</t>
  </si>
  <si>
    <t>Level 50-90 %</t>
  </si>
  <si>
    <t>Level 50-90 Skill %</t>
  </si>
  <si>
    <t>Hedgehog Pie %</t>
  </si>
  <si>
    <t>Hedgehog Pie Skill %</t>
  </si>
  <si>
    <t>Dawn Mulsum %</t>
  </si>
  <si>
    <t>Dawn Mulsum Skill %</t>
  </si>
  <si>
    <t>Red Curry %</t>
  </si>
  <si>
    <t>Red Curry Skill %</t>
  </si>
  <si>
    <t>Level 90-100 %</t>
  </si>
  <si>
    <t>Level 50-100 %</t>
  </si>
  <si>
    <t>Level 90-100 Skill %</t>
  </si>
  <si>
    <t>Level 50-100 Skill %</t>
  </si>
  <si>
    <t>Level 1-100 %</t>
  </si>
  <si>
    <t>Level 1-100 Skill %</t>
  </si>
  <si>
    <t>No Support under any circumstances</t>
  </si>
  <si>
    <t>Bone Arrowheads</t>
  </si>
  <si>
    <t>Cap -9</t>
  </si>
  <si>
    <t>+ Advanced Support</t>
  </si>
  <si>
    <t>+ Protective Spectacles</t>
  </si>
  <si>
    <t>Effective Cap -5</t>
  </si>
  <si>
    <t>Cap -8</t>
  </si>
  <si>
    <t>Cap -7</t>
  </si>
  <si>
    <t>+ Boneworker's Torque</t>
  </si>
  <si>
    <t>+ Image Support</t>
  </si>
  <si>
    <t>+ None</t>
  </si>
  <si>
    <t>Gelatin</t>
  </si>
  <si>
    <t>Cap -11</t>
  </si>
  <si>
    <t>Carapace Powder</t>
  </si>
  <si>
    <t>Cap -10</t>
  </si>
  <si>
    <t>Beetle Ring</t>
  </si>
  <si>
    <t>Effective Cap +2</t>
  </si>
  <si>
    <t>0*</t>
  </si>
  <si>
    <t>*x1 HQ1 (6 Gelatin)</t>
  </si>
  <si>
    <t>Skill Up %</t>
  </si>
  <si>
    <t>Level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</si>
</sst>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Wingdings"/>
      <charset val="2"/>
    </font>
    <font>
      <sz val="1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0" fillId="0" borderId="2" xfId="0" applyBorder="1"/>
    <xf numFmtId="10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10" fontId="0" fillId="0" borderId="0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0" fontId="0" fillId="0" borderId="7" xfId="0" applyNumberFormat="1" applyBorder="1"/>
    <xf numFmtId="0" fontId="0" fillId="0" borderId="8" xfId="0" applyBorder="1"/>
    <xf numFmtId="0" fontId="0" fillId="0" borderId="0" xfId="0" applyFill="1" applyBorder="1"/>
    <xf numFmtId="10" fontId="0" fillId="0" borderId="0" xfId="0" applyNumberFormat="1" applyFill="1" applyBorder="1"/>
    <xf numFmtId="0" fontId="0" fillId="0" borderId="2" xfId="0" applyFill="1" applyBorder="1"/>
    <xf numFmtId="10" fontId="0" fillId="0" borderId="2" xfId="0" applyNumberFormat="1" applyFill="1" applyBorder="1"/>
    <xf numFmtId="0" fontId="0" fillId="0" borderId="7" xfId="0" applyFill="1" applyBorder="1"/>
    <xf numFmtId="10" fontId="0" fillId="0" borderId="7" xfId="0" applyNumberFormat="1" applyFill="1" applyBorder="1"/>
    <xf numFmtId="0" fontId="0" fillId="0" borderId="3" xfId="0" applyFill="1" applyBorder="1"/>
    <xf numFmtId="0" fontId="0" fillId="0" borderId="0" xfId="0" applyAlignment="1">
      <alignment horizontal="right"/>
    </xf>
    <xf numFmtId="10" fontId="0" fillId="0" borderId="0" xfId="0" applyNumberFormat="1" applyAlignment="1">
      <alignment horizontal="right"/>
    </xf>
    <xf numFmtId="0" fontId="2" fillId="0" borderId="0" xfId="0" applyFont="1" applyFill="1" applyBorder="1"/>
    <xf numFmtId="0" fontId="2" fillId="0" borderId="2" xfId="0" applyFont="1" applyFill="1" applyBorder="1"/>
    <xf numFmtId="0" fontId="4" fillId="0" borderId="2" xfId="0" applyFont="1" applyBorder="1"/>
    <xf numFmtId="10" fontId="2" fillId="0" borderId="0" xfId="0" applyNumberFormat="1" applyFont="1" applyBorder="1"/>
    <xf numFmtId="0" fontId="4" fillId="0" borderId="0" xfId="0" applyFont="1" applyBorder="1"/>
    <xf numFmtId="0" fontId="2" fillId="0" borderId="7" xfId="0" applyFont="1" applyFill="1" applyBorder="1"/>
    <xf numFmtId="0" fontId="4" fillId="0" borderId="0" xfId="0" applyFont="1" applyFill="1" applyBorder="1"/>
    <xf numFmtId="0" fontId="4" fillId="0" borderId="2" xfId="0" applyFont="1" applyFill="1" applyBorder="1"/>
    <xf numFmtId="0" fontId="4" fillId="0" borderId="7" xfId="0" applyFont="1" applyFill="1" applyBorder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left"/>
    </xf>
    <xf numFmtId="10" fontId="0" fillId="0" borderId="2" xfId="1" applyNumberFormat="1" applyFont="1" applyBorder="1"/>
    <xf numFmtId="10" fontId="0" fillId="0" borderId="0" xfId="1" applyNumberFormat="1" applyFont="1" applyBorder="1"/>
    <xf numFmtId="10" fontId="0" fillId="0" borderId="7" xfId="1" applyNumberFormat="1" applyFont="1" applyBorder="1"/>
    <xf numFmtId="10" fontId="0" fillId="0" borderId="0" xfId="1" applyNumberFormat="1" applyFont="1" applyFill="1" applyBorder="1"/>
    <xf numFmtId="10" fontId="0" fillId="0" borderId="2" xfId="1" applyNumberFormat="1" applyFont="1" applyFill="1" applyBorder="1"/>
    <xf numFmtId="10" fontId="0" fillId="0" borderId="7" xfId="1" applyNumberFormat="1" applyFont="1" applyFill="1" applyBorder="1"/>
    <xf numFmtId="10" fontId="0" fillId="0" borderId="0" xfId="1" applyNumberFormat="1" applyFont="1"/>
    <xf numFmtId="10" fontId="0" fillId="0" borderId="0" xfId="1" applyNumberFormat="1" applyFont="1" applyAlignment="1">
      <alignment horizontal="right"/>
    </xf>
    <xf numFmtId="0" fontId="10" fillId="0" borderId="0" xfId="0" applyFont="1" applyAlignment="1">
      <alignment horizontal="right"/>
    </xf>
    <xf numFmtId="10" fontId="10" fillId="0" borderId="0" xfId="1" applyNumberFormat="1" applyFont="1"/>
    <xf numFmtId="2" fontId="0" fillId="0" borderId="0" xfId="0" applyNumberFormat="1"/>
    <xf numFmtId="49" fontId="0" fillId="0" borderId="4" xfId="0" applyNumberFormat="1" applyBorder="1"/>
    <xf numFmtId="0" fontId="0" fillId="0" borderId="4" xfId="0" applyFill="1" applyBorder="1"/>
    <xf numFmtId="0" fontId="0" fillId="0" borderId="1" xfId="0" applyFill="1" applyBorder="1"/>
    <xf numFmtId="49" fontId="0" fillId="0" borderId="0" xfId="0" applyNumberFormat="1" applyFill="1" applyBorder="1"/>
    <xf numFmtId="49" fontId="0" fillId="0" borderId="6" xfId="0" applyNumberFormat="1" applyFill="1" applyBorder="1"/>
    <xf numFmtId="49" fontId="0" fillId="0" borderId="4" xfId="0" applyNumberFormat="1" applyFill="1" applyBorder="1"/>
    <xf numFmtId="49" fontId="0" fillId="0" borderId="1" xfId="0" applyNumberFormat="1" applyFill="1" applyBorder="1"/>
    <xf numFmtId="0" fontId="0" fillId="0" borderId="2" xfId="0" applyFill="1" applyBorder="1" applyAlignment="1">
      <alignment horizontal="right"/>
    </xf>
    <xf numFmtId="0" fontId="0" fillId="0" borderId="0" xfId="0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Charts!$B$1</c:f>
              <c:strCache>
                <c:ptCount val="1"/>
                <c:pt idx="0">
                  <c:v>Cap -1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solidFill>
                <a:srgbClr val="7030A0"/>
              </a:solidFill>
              <a:ln>
                <a:solidFill>
                  <a:srgbClr val="7030A0"/>
                </a:solidFill>
              </a:ln>
            </c:spPr>
          </c:marker>
          <c:cat>
            <c:strRef>
              <c:f>Charts!$A$2:$A$14</c:f>
              <c:strCache>
                <c:ptCount val="13"/>
                <c:pt idx="0">
                  <c:v>Average</c:v>
                </c:pt>
                <c:pt idx="1">
                  <c:v>Carrot Broth</c:v>
                </c:pt>
                <c:pt idx="2">
                  <c:v>Hard Boiled Egg</c:v>
                </c:pt>
                <c:pt idx="3">
                  <c:v>Orange Juice</c:v>
                </c:pt>
                <c:pt idx="4">
                  <c:v>Torilla</c:v>
                </c:pt>
                <c:pt idx="5">
                  <c:v>Selbina Butter</c:v>
                </c:pt>
                <c:pt idx="6">
                  <c:v>Roast Coffee Beans</c:v>
                </c:pt>
                <c:pt idx="7">
                  <c:v>Insect Ball</c:v>
                </c:pt>
                <c:pt idx="8">
                  <c:v>Iron Bread</c:v>
                </c:pt>
                <c:pt idx="9">
                  <c:v>Dancing Herbal Broth</c:v>
                </c:pt>
                <c:pt idx="10">
                  <c:v>Pie Dough</c:v>
                </c:pt>
                <c:pt idx="11">
                  <c:v>White Bread</c:v>
                </c:pt>
                <c:pt idx="12">
                  <c:v>Grape Juice</c:v>
                </c:pt>
              </c:strCache>
            </c:strRef>
          </c:cat>
          <c:val>
            <c:numRef>
              <c:f>Charts!$B$2:$B$14</c:f>
              <c:numCache>
                <c:formatCode>0.00%</c:formatCode>
                <c:ptCount val="13"/>
                <c:pt idx="0">
                  <c:v>0.11599099099099099</c:v>
                </c:pt>
                <c:pt idx="1">
                  <c:v>0.16071428571428573</c:v>
                </c:pt>
                <c:pt idx="2">
                  <c:v>0.30303030303030304</c:v>
                </c:pt>
                <c:pt idx="3">
                  <c:v>0.27586206896551724</c:v>
                </c:pt>
                <c:pt idx="4">
                  <c:v>0.1875</c:v>
                </c:pt>
                <c:pt idx="5">
                  <c:v>0.27272727272727271</c:v>
                </c:pt>
                <c:pt idx="6">
                  <c:v>0.13793103448275862</c:v>
                </c:pt>
                <c:pt idx="7">
                  <c:v>0.12903225806451613</c:v>
                </c:pt>
                <c:pt idx="8">
                  <c:v>8.2568807339449546E-2</c:v>
                </c:pt>
                <c:pt idx="9">
                  <c:v>4.7619047619047616E-2</c:v>
                </c:pt>
                <c:pt idx="10">
                  <c:v>0.1</c:v>
                </c:pt>
                <c:pt idx="11">
                  <c:v>7.5187969924812026E-2</c:v>
                </c:pt>
                <c:pt idx="12">
                  <c:v>7.7777777777777779E-2</c:v>
                </c:pt>
              </c:numCache>
            </c:numRef>
          </c:val>
        </c:ser>
        <c:ser>
          <c:idx val="1"/>
          <c:order val="1"/>
          <c:tx>
            <c:strRef>
              <c:f>Charts!$C$1</c:f>
              <c:strCache>
                <c:ptCount val="1"/>
                <c:pt idx="0">
                  <c:v>Cap -2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strRef>
              <c:f>Charts!$A$2:$A$14</c:f>
              <c:strCache>
                <c:ptCount val="13"/>
                <c:pt idx="0">
                  <c:v>Average</c:v>
                </c:pt>
                <c:pt idx="1">
                  <c:v>Carrot Broth</c:v>
                </c:pt>
                <c:pt idx="2">
                  <c:v>Hard Boiled Egg</c:v>
                </c:pt>
                <c:pt idx="3">
                  <c:v>Orange Juice</c:v>
                </c:pt>
                <c:pt idx="4">
                  <c:v>Torilla</c:v>
                </c:pt>
                <c:pt idx="5">
                  <c:v>Selbina Butter</c:v>
                </c:pt>
                <c:pt idx="6">
                  <c:v>Roast Coffee Beans</c:v>
                </c:pt>
                <c:pt idx="7">
                  <c:v>Insect Ball</c:v>
                </c:pt>
                <c:pt idx="8">
                  <c:v>Iron Bread</c:v>
                </c:pt>
                <c:pt idx="9">
                  <c:v>Dancing Herbal Broth</c:v>
                </c:pt>
                <c:pt idx="10">
                  <c:v>Pie Dough</c:v>
                </c:pt>
                <c:pt idx="11">
                  <c:v>White Bread</c:v>
                </c:pt>
                <c:pt idx="12">
                  <c:v>Grape Juice</c:v>
                </c:pt>
              </c:strCache>
            </c:strRef>
          </c:cat>
          <c:val>
            <c:numRef>
              <c:f>Charts!$C$2:$C$14</c:f>
              <c:numCache>
                <c:formatCode>0.00%</c:formatCode>
                <c:ptCount val="13"/>
                <c:pt idx="0">
                  <c:v>0.24806201550387597</c:v>
                </c:pt>
                <c:pt idx="1">
                  <c:v>0.35</c:v>
                </c:pt>
                <c:pt idx="2">
                  <c:v>0.41176470588235292</c:v>
                </c:pt>
                <c:pt idx="3">
                  <c:v>0.5</c:v>
                </c:pt>
                <c:pt idx="4">
                  <c:v>0.3</c:v>
                </c:pt>
                <c:pt idx="5">
                  <c:v>0.47368421052631576</c:v>
                </c:pt>
                <c:pt idx="6">
                  <c:v>0.18604651162790697</c:v>
                </c:pt>
                <c:pt idx="7">
                  <c:v>0.4</c:v>
                </c:pt>
                <c:pt idx="8">
                  <c:v>0.25</c:v>
                </c:pt>
                <c:pt idx="9">
                  <c:v>0.27272727272727271</c:v>
                </c:pt>
                <c:pt idx="10">
                  <c:v>0.24324324324324326</c:v>
                </c:pt>
                <c:pt idx="11">
                  <c:v>8.98876404494382E-2</c:v>
                </c:pt>
                <c:pt idx="12">
                  <c:v>0.21951219512195122</c:v>
                </c:pt>
              </c:numCache>
            </c:numRef>
          </c:val>
        </c:ser>
        <c:ser>
          <c:idx val="2"/>
          <c:order val="2"/>
          <c:tx>
            <c:strRef>
              <c:f>Charts!$D$1</c:f>
              <c:strCache>
                <c:ptCount val="1"/>
                <c:pt idx="0">
                  <c:v>Cap -3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Ref>
              <c:f>Charts!$A$2:$A$14</c:f>
              <c:strCache>
                <c:ptCount val="13"/>
                <c:pt idx="0">
                  <c:v>Average</c:v>
                </c:pt>
                <c:pt idx="1">
                  <c:v>Carrot Broth</c:v>
                </c:pt>
                <c:pt idx="2">
                  <c:v>Hard Boiled Egg</c:v>
                </c:pt>
                <c:pt idx="3">
                  <c:v>Orange Juice</c:v>
                </c:pt>
                <c:pt idx="4">
                  <c:v>Torilla</c:v>
                </c:pt>
                <c:pt idx="5">
                  <c:v>Selbina Butter</c:v>
                </c:pt>
                <c:pt idx="6">
                  <c:v>Roast Coffee Beans</c:v>
                </c:pt>
                <c:pt idx="7">
                  <c:v>Insect Ball</c:v>
                </c:pt>
                <c:pt idx="8">
                  <c:v>Iron Bread</c:v>
                </c:pt>
                <c:pt idx="9">
                  <c:v>Dancing Herbal Broth</c:v>
                </c:pt>
                <c:pt idx="10">
                  <c:v>Pie Dough</c:v>
                </c:pt>
                <c:pt idx="11">
                  <c:v>White Bread</c:v>
                </c:pt>
                <c:pt idx="12">
                  <c:v>Grape Juice</c:v>
                </c:pt>
              </c:strCache>
            </c:strRef>
          </c:cat>
          <c:val>
            <c:numRef>
              <c:f>Charts!$D$2:$D$14</c:f>
              <c:numCache>
                <c:formatCode>0.00%</c:formatCode>
                <c:ptCount val="13"/>
                <c:pt idx="0">
                  <c:v>0.36401673640167365</c:v>
                </c:pt>
                <c:pt idx="1">
                  <c:v>0.69230769230769229</c:v>
                </c:pt>
                <c:pt idx="2">
                  <c:v>0.61538461538461542</c:v>
                </c:pt>
                <c:pt idx="3">
                  <c:v>0.52941176470588236</c:v>
                </c:pt>
                <c:pt idx="4">
                  <c:v>0.33333333333333331</c:v>
                </c:pt>
                <c:pt idx="5">
                  <c:v>0.4375</c:v>
                </c:pt>
                <c:pt idx="6">
                  <c:v>0.52941176470588236</c:v>
                </c:pt>
                <c:pt idx="7">
                  <c:v>0.47368421052631576</c:v>
                </c:pt>
                <c:pt idx="8">
                  <c:v>0.30769230769230771</c:v>
                </c:pt>
                <c:pt idx="9">
                  <c:v>0.19444444444444445</c:v>
                </c:pt>
                <c:pt idx="10">
                  <c:v>0.26923076923076922</c:v>
                </c:pt>
                <c:pt idx="12">
                  <c:v>0.2</c:v>
                </c:pt>
              </c:numCache>
            </c:numRef>
          </c:val>
        </c:ser>
        <c:ser>
          <c:idx val="3"/>
          <c:order val="3"/>
          <c:tx>
            <c:strRef>
              <c:f>Charts!$E$1</c:f>
              <c:strCache>
                <c:ptCount val="1"/>
                <c:pt idx="0">
                  <c:v>Cap -4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solidFill>
                <a:srgbClr val="FFC000"/>
              </a:solidFill>
              <a:ln>
                <a:solidFill>
                  <a:srgbClr val="FFC000"/>
                </a:solidFill>
              </a:ln>
            </c:spPr>
          </c:marker>
          <c:cat>
            <c:strRef>
              <c:f>Charts!$A$2:$A$14</c:f>
              <c:strCache>
                <c:ptCount val="13"/>
                <c:pt idx="0">
                  <c:v>Average</c:v>
                </c:pt>
                <c:pt idx="1">
                  <c:v>Carrot Broth</c:v>
                </c:pt>
                <c:pt idx="2">
                  <c:v>Hard Boiled Egg</c:v>
                </c:pt>
                <c:pt idx="3">
                  <c:v>Orange Juice</c:v>
                </c:pt>
                <c:pt idx="4">
                  <c:v>Torilla</c:v>
                </c:pt>
                <c:pt idx="5">
                  <c:v>Selbina Butter</c:v>
                </c:pt>
                <c:pt idx="6">
                  <c:v>Roast Coffee Beans</c:v>
                </c:pt>
                <c:pt idx="7">
                  <c:v>Insect Ball</c:v>
                </c:pt>
                <c:pt idx="8">
                  <c:v>Iron Bread</c:v>
                </c:pt>
                <c:pt idx="9">
                  <c:v>Dancing Herbal Broth</c:v>
                </c:pt>
                <c:pt idx="10">
                  <c:v>Pie Dough</c:v>
                </c:pt>
                <c:pt idx="11">
                  <c:v>White Bread</c:v>
                </c:pt>
                <c:pt idx="12">
                  <c:v>Grape Juice</c:v>
                </c:pt>
              </c:strCache>
            </c:strRef>
          </c:cat>
          <c:val>
            <c:numRef>
              <c:f>Charts!$E$2:$E$14</c:f>
              <c:numCache>
                <c:formatCode>0.00%</c:formatCode>
                <c:ptCount val="13"/>
                <c:pt idx="0">
                  <c:v>0.46341463414634149</c:v>
                </c:pt>
                <c:pt idx="3">
                  <c:v>0.6</c:v>
                </c:pt>
                <c:pt idx="4">
                  <c:v>0.7</c:v>
                </c:pt>
                <c:pt idx="5">
                  <c:v>0.90909090909090906</c:v>
                </c:pt>
                <c:pt idx="6">
                  <c:v>0.375</c:v>
                </c:pt>
                <c:pt idx="7">
                  <c:v>0.375</c:v>
                </c:pt>
                <c:pt idx="8">
                  <c:v>0.42857142857142855</c:v>
                </c:pt>
                <c:pt idx="10">
                  <c:v>0.38095238095238093</c:v>
                </c:pt>
                <c:pt idx="12">
                  <c:v>0.32</c:v>
                </c:pt>
              </c:numCache>
            </c:numRef>
          </c:val>
        </c:ser>
        <c:ser>
          <c:idx val="4"/>
          <c:order val="4"/>
          <c:tx>
            <c:strRef>
              <c:f>Charts!$F$1</c:f>
              <c:strCache>
                <c:ptCount val="1"/>
                <c:pt idx="0">
                  <c:v>Cap -5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solidFill>
                <a:schemeClr val="accent6">
                  <a:lumMod val="75000"/>
                </a:schemeClr>
              </a:solidFill>
              <a:ln>
                <a:solidFill>
                  <a:srgbClr val="F79646">
                    <a:lumMod val="75000"/>
                  </a:srgbClr>
                </a:solidFill>
              </a:ln>
            </c:spPr>
          </c:marker>
          <c:cat>
            <c:strRef>
              <c:f>Charts!$A$2:$A$14</c:f>
              <c:strCache>
                <c:ptCount val="13"/>
                <c:pt idx="0">
                  <c:v>Average</c:v>
                </c:pt>
                <c:pt idx="1">
                  <c:v>Carrot Broth</c:v>
                </c:pt>
                <c:pt idx="2">
                  <c:v>Hard Boiled Egg</c:v>
                </c:pt>
                <c:pt idx="3">
                  <c:v>Orange Juice</c:v>
                </c:pt>
                <c:pt idx="4">
                  <c:v>Torilla</c:v>
                </c:pt>
                <c:pt idx="5">
                  <c:v>Selbina Butter</c:v>
                </c:pt>
                <c:pt idx="6">
                  <c:v>Roast Coffee Beans</c:v>
                </c:pt>
                <c:pt idx="7">
                  <c:v>Insect Ball</c:v>
                </c:pt>
                <c:pt idx="8">
                  <c:v>Iron Bread</c:v>
                </c:pt>
                <c:pt idx="9">
                  <c:v>Dancing Herbal Broth</c:v>
                </c:pt>
                <c:pt idx="10">
                  <c:v>Pie Dough</c:v>
                </c:pt>
                <c:pt idx="11">
                  <c:v>White Bread</c:v>
                </c:pt>
                <c:pt idx="12">
                  <c:v>Grape Juice</c:v>
                </c:pt>
              </c:strCache>
            </c:strRef>
          </c:cat>
          <c:val>
            <c:numRef>
              <c:f>Charts!$F$2:$F$14</c:f>
              <c:numCache>
                <c:formatCode>0.00%</c:formatCode>
                <c:ptCount val="13"/>
                <c:pt idx="0">
                  <c:v>0.46031746031746029</c:v>
                </c:pt>
                <c:pt idx="5">
                  <c:v>0.625</c:v>
                </c:pt>
                <c:pt idx="6">
                  <c:v>0.6</c:v>
                </c:pt>
                <c:pt idx="8">
                  <c:v>0.53846153846153844</c:v>
                </c:pt>
                <c:pt idx="10">
                  <c:v>0.29411764705882354</c:v>
                </c:pt>
                <c:pt idx="12">
                  <c:v>0.4</c:v>
                </c:pt>
              </c:numCache>
            </c:numRef>
          </c:val>
        </c:ser>
        <c:ser>
          <c:idx val="5"/>
          <c:order val="5"/>
          <c:tx>
            <c:strRef>
              <c:f>Charts!$G$1</c:f>
              <c:strCache>
                <c:ptCount val="1"/>
                <c:pt idx="0">
                  <c:v>Cap -6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solidFill>
                <a:srgbClr val="FF0000"/>
              </a:solidFill>
            </c:spPr>
          </c:marker>
          <c:cat>
            <c:strRef>
              <c:f>Charts!$A$2:$A$14</c:f>
              <c:strCache>
                <c:ptCount val="13"/>
                <c:pt idx="0">
                  <c:v>Average</c:v>
                </c:pt>
                <c:pt idx="1">
                  <c:v>Carrot Broth</c:v>
                </c:pt>
                <c:pt idx="2">
                  <c:v>Hard Boiled Egg</c:v>
                </c:pt>
                <c:pt idx="3">
                  <c:v>Orange Juice</c:v>
                </c:pt>
                <c:pt idx="4">
                  <c:v>Torilla</c:v>
                </c:pt>
                <c:pt idx="5">
                  <c:v>Selbina Butter</c:v>
                </c:pt>
                <c:pt idx="6">
                  <c:v>Roast Coffee Beans</c:v>
                </c:pt>
                <c:pt idx="7">
                  <c:v>Insect Ball</c:v>
                </c:pt>
                <c:pt idx="8">
                  <c:v>Iron Bread</c:v>
                </c:pt>
                <c:pt idx="9">
                  <c:v>Dancing Herbal Broth</c:v>
                </c:pt>
                <c:pt idx="10">
                  <c:v>Pie Dough</c:v>
                </c:pt>
                <c:pt idx="11">
                  <c:v>White Bread</c:v>
                </c:pt>
                <c:pt idx="12">
                  <c:v>Grape Juice</c:v>
                </c:pt>
              </c:strCache>
            </c:strRef>
          </c:cat>
          <c:val>
            <c:numRef>
              <c:f>Charts!$G$2:$G$14</c:f>
              <c:numCache>
                <c:formatCode>0.00%</c:formatCode>
                <c:ptCount val="13"/>
                <c:pt idx="0">
                  <c:v>0.84615384615384615</c:v>
                </c:pt>
                <c:pt idx="5">
                  <c:v>1</c:v>
                </c:pt>
                <c:pt idx="12">
                  <c:v>0.75</c:v>
                </c:pt>
              </c:numCache>
            </c:numRef>
          </c:val>
        </c:ser>
        <c:ser>
          <c:idx val="6"/>
          <c:order val="6"/>
          <c:tx>
            <c:strRef>
              <c:f>Charts!$H$1</c:f>
              <c:strCache>
                <c:ptCount val="1"/>
                <c:pt idx="0">
                  <c:v>Average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circle"/>
            <c:size val="5"/>
            <c:spPr>
              <a:solidFill>
                <a:schemeClr val="tx1"/>
              </a:solidFill>
            </c:spPr>
          </c:marker>
          <c:cat>
            <c:strRef>
              <c:f>Charts!$A$2:$A$14</c:f>
              <c:strCache>
                <c:ptCount val="13"/>
                <c:pt idx="0">
                  <c:v>Average</c:v>
                </c:pt>
                <c:pt idx="1">
                  <c:v>Carrot Broth</c:v>
                </c:pt>
                <c:pt idx="2">
                  <c:v>Hard Boiled Egg</c:v>
                </c:pt>
                <c:pt idx="3">
                  <c:v>Orange Juice</c:v>
                </c:pt>
                <c:pt idx="4">
                  <c:v>Torilla</c:v>
                </c:pt>
                <c:pt idx="5">
                  <c:v>Selbina Butter</c:v>
                </c:pt>
                <c:pt idx="6">
                  <c:v>Roast Coffee Beans</c:v>
                </c:pt>
                <c:pt idx="7">
                  <c:v>Insect Ball</c:v>
                </c:pt>
                <c:pt idx="8">
                  <c:v>Iron Bread</c:v>
                </c:pt>
                <c:pt idx="9">
                  <c:v>Dancing Herbal Broth</c:v>
                </c:pt>
                <c:pt idx="10">
                  <c:v>Pie Dough</c:v>
                </c:pt>
                <c:pt idx="11">
                  <c:v>White Bread</c:v>
                </c:pt>
                <c:pt idx="12">
                  <c:v>Grape Juice</c:v>
                </c:pt>
              </c:strCache>
            </c:strRef>
          </c:cat>
          <c:val>
            <c:numRef>
              <c:f>Charts!$H$2:$H$14</c:f>
              <c:numCache>
                <c:formatCode>0.00%</c:formatCode>
                <c:ptCount val="13"/>
                <c:pt idx="0">
                  <c:v>0.22358435493286632</c:v>
                </c:pt>
                <c:pt idx="1">
                  <c:v>0.2808988764044944</c:v>
                </c:pt>
                <c:pt idx="2">
                  <c:v>0.3968253968253968</c:v>
                </c:pt>
                <c:pt idx="3">
                  <c:v>0.42857142857142855</c:v>
                </c:pt>
                <c:pt idx="4">
                  <c:v>0.29357798165137616</c:v>
                </c:pt>
                <c:pt idx="5">
                  <c:v>0.4891304347826087</c:v>
                </c:pt>
                <c:pt idx="6">
                  <c:v>0.25694444444444442</c:v>
                </c:pt>
                <c:pt idx="7">
                  <c:v>0.26495726495726496</c:v>
                </c:pt>
                <c:pt idx="8">
                  <c:v>0.19354838709677419</c:v>
                </c:pt>
                <c:pt idx="9">
                  <c:v>0.10648148148148148</c:v>
                </c:pt>
                <c:pt idx="10">
                  <c:v>0.19895287958115182</c:v>
                </c:pt>
                <c:pt idx="11">
                  <c:v>8.1081081081081086E-2</c:v>
                </c:pt>
                <c:pt idx="12">
                  <c:v>0.20093457943925233</c:v>
                </c:pt>
              </c:numCache>
            </c:numRef>
          </c:val>
        </c:ser>
        <c:marker val="1"/>
        <c:axId val="112734976"/>
        <c:axId val="112736896"/>
      </c:lineChart>
      <c:catAx>
        <c:axId val="112734976"/>
        <c:scaling>
          <c:orientation val="minMax"/>
        </c:scaling>
        <c:axPos val="b"/>
        <c:majorGridlines>
          <c:spPr>
            <a:ln w="25400">
              <a:solidFill>
                <a:sysClr val="windowText" lastClr="000000"/>
              </a:solidFill>
            </a:ln>
          </c:spPr>
        </c:majorGridlines>
        <c:tickLblPos val="nextTo"/>
        <c:crossAx val="112736896"/>
        <c:crosses val="autoZero"/>
        <c:auto val="1"/>
        <c:lblAlgn val="ctr"/>
        <c:lblOffset val="100"/>
      </c:catAx>
      <c:valAx>
        <c:axId val="112736896"/>
        <c:scaling>
          <c:orientation val="minMax"/>
          <c:max val="1"/>
        </c:scaling>
        <c:axPos val="l"/>
        <c:majorGridlines/>
        <c:minorGridlines/>
        <c:numFmt formatCode="0.00%" sourceLinked="1"/>
        <c:tickLblPos val="nextTo"/>
        <c:crossAx val="112734976"/>
        <c:crosses val="autoZero"/>
        <c:crossBetween val="between"/>
        <c:minorUnit val="0.05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Charts!$B$38</c:f>
              <c:strCache>
                <c:ptCount val="1"/>
                <c:pt idx="0">
                  <c:v>Cap -1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solidFill>
                <a:srgbClr val="7030A0"/>
              </a:solidFill>
              <a:ln>
                <a:solidFill>
                  <a:srgbClr val="7030A0"/>
                </a:solidFill>
              </a:ln>
            </c:spPr>
          </c:marker>
          <c:cat>
            <c:strRef>
              <c:f>Charts!$A$39:$A$51</c:f>
              <c:strCache>
                <c:ptCount val="13"/>
                <c:pt idx="0">
                  <c:v>Average</c:v>
                </c:pt>
                <c:pt idx="1">
                  <c:v>Beaugreen Sautee</c:v>
                </c:pt>
                <c:pt idx="2">
                  <c:v>Yagudo Drink</c:v>
                </c:pt>
                <c:pt idx="3">
                  <c:v>Melon Pie</c:v>
                </c:pt>
                <c:pt idx="4">
                  <c:v>Colored Egg</c:v>
                </c:pt>
                <c:pt idx="5">
                  <c:v>Pear au Lait</c:v>
                </c:pt>
                <c:pt idx="6">
                  <c:v>Green Curry</c:v>
                </c:pt>
                <c:pt idx="7">
                  <c:v>Pamama au Lait</c:v>
                </c:pt>
                <c:pt idx="8">
                  <c:v>Pumpkin Pie</c:v>
                </c:pt>
                <c:pt idx="9">
                  <c:v>Rolanberry Pie</c:v>
                </c:pt>
                <c:pt idx="10">
                  <c:v>Hedgehog Pie</c:v>
                </c:pt>
                <c:pt idx="11">
                  <c:v>Dawn Mulsum</c:v>
                </c:pt>
                <c:pt idx="12">
                  <c:v>Red Curry</c:v>
                </c:pt>
              </c:strCache>
            </c:strRef>
          </c:cat>
          <c:val>
            <c:numRef>
              <c:f>Charts!$B$39:$B$51</c:f>
              <c:numCache>
                <c:formatCode>0.00%</c:formatCode>
                <c:ptCount val="13"/>
                <c:pt idx="0">
                  <c:v>4.103405826836274E-2</c:v>
                </c:pt>
                <c:pt idx="1">
                  <c:v>8.4337349397590355E-2</c:v>
                </c:pt>
                <c:pt idx="2">
                  <c:v>4.6242774566473986E-2</c:v>
                </c:pt>
                <c:pt idx="3">
                  <c:v>6.6225165562913912E-2</c:v>
                </c:pt>
                <c:pt idx="4">
                  <c:v>7.407407407407407E-2</c:v>
                </c:pt>
                <c:pt idx="5">
                  <c:v>3.9603960396039604E-2</c:v>
                </c:pt>
                <c:pt idx="6">
                  <c:v>3.7499999999999999E-2</c:v>
                </c:pt>
                <c:pt idx="7">
                  <c:v>3.484320557491289E-2</c:v>
                </c:pt>
                <c:pt idx="8">
                  <c:v>6.0606060606060608E-2</c:v>
                </c:pt>
                <c:pt idx="9">
                  <c:v>5.6737588652482268E-2</c:v>
                </c:pt>
                <c:pt idx="10">
                  <c:v>1.8828451882845189E-2</c:v>
                </c:pt>
                <c:pt idx="11">
                  <c:v>2.1084337349397589E-2</c:v>
                </c:pt>
                <c:pt idx="12">
                  <c:v>7.2727272727272724E-2</c:v>
                </c:pt>
              </c:numCache>
            </c:numRef>
          </c:val>
        </c:ser>
        <c:ser>
          <c:idx val="1"/>
          <c:order val="1"/>
          <c:tx>
            <c:strRef>
              <c:f>Charts!$C$38</c:f>
              <c:strCache>
                <c:ptCount val="1"/>
                <c:pt idx="0">
                  <c:v>Cap -2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strRef>
              <c:f>Charts!$A$39:$A$51</c:f>
              <c:strCache>
                <c:ptCount val="13"/>
                <c:pt idx="0">
                  <c:v>Average</c:v>
                </c:pt>
                <c:pt idx="1">
                  <c:v>Beaugreen Sautee</c:v>
                </c:pt>
                <c:pt idx="2">
                  <c:v>Yagudo Drink</c:v>
                </c:pt>
                <c:pt idx="3">
                  <c:v>Melon Pie</c:v>
                </c:pt>
                <c:pt idx="4">
                  <c:v>Colored Egg</c:v>
                </c:pt>
                <c:pt idx="5">
                  <c:v>Pear au Lait</c:v>
                </c:pt>
                <c:pt idx="6">
                  <c:v>Green Curry</c:v>
                </c:pt>
                <c:pt idx="7">
                  <c:v>Pamama au Lait</c:v>
                </c:pt>
                <c:pt idx="8">
                  <c:v>Pumpkin Pie</c:v>
                </c:pt>
                <c:pt idx="9">
                  <c:v>Rolanberry Pie</c:v>
                </c:pt>
                <c:pt idx="10">
                  <c:v>Hedgehog Pie</c:v>
                </c:pt>
                <c:pt idx="11">
                  <c:v>Dawn Mulsum</c:v>
                </c:pt>
                <c:pt idx="12">
                  <c:v>Red Curry</c:v>
                </c:pt>
              </c:strCache>
            </c:strRef>
          </c:cat>
          <c:val>
            <c:numRef>
              <c:f>Charts!$C$39:$C$51</c:f>
              <c:numCache>
                <c:formatCode>0.00%</c:formatCode>
                <c:ptCount val="13"/>
                <c:pt idx="0">
                  <c:v>6.8648266100495403E-2</c:v>
                </c:pt>
                <c:pt idx="1">
                  <c:v>7.5471698113207544E-2</c:v>
                </c:pt>
                <c:pt idx="2">
                  <c:v>0.14583333333333334</c:v>
                </c:pt>
                <c:pt idx="3">
                  <c:v>7.3394495412844041E-2</c:v>
                </c:pt>
                <c:pt idx="4">
                  <c:v>8.4905660377358486E-2</c:v>
                </c:pt>
                <c:pt idx="5">
                  <c:v>7.4999999999999997E-2</c:v>
                </c:pt>
                <c:pt idx="6">
                  <c:v>7.0866141732283464E-2</c:v>
                </c:pt>
                <c:pt idx="7">
                  <c:v>7.4999999999999997E-2</c:v>
                </c:pt>
                <c:pt idx="8">
                  <c:v>4.807692307692308E-2</c:v>
                </c:pt>
                <c:pt idx="9">
                  <c:v>5.8064516129032261E-2</c:v>
                </c:pt>
                <c:pt idx="10">
                  <c:v>6.6115702479338845E-2</c:v>
                </c:pt>
                <c:pt idx="11">
                  <c:v>6.0344827586206899E-2</c:v>
                </c:pt>
                <c:pt idx="12">
                  <c:v>5.9829059829059832E-2</c:v>
                </c:pt>
              </c:numCache>
            </c:numRef>
          </c:val>
        </c:ser>
        <c:ser>
          <c:idx val="2"/>
          <c:order val="2"/>
          <c:tx>
            <c:strRef>
              <c:f>Charts!$D$38</c:f>
              <c:strCache>
                <c:ptCount val="1"/>
                <c:pt idx="0">
                  <c:v>Cap -3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Ref>
              <c:f>Charts!$A$39:$A$51</c:f>
              <c:strCache>
                <c:ptCount val="13"/>
                <c:pt idx="0">
                  <c:v>Average</c:v>
                </c:pt>
                <c:pt idx="1">
                  <c:v>Beaugreen Sautee</c:v>
                </c:pt>
                <c:pt idx="2">
                  <c:v>Yagudo Drink</c:v>
                </c:pt>
                <c:pt idx="3">
                  <c:v>Melon Pie</c:v>
                </c:pt>
                <c:pt idx="4">
                  <c:v>Colored Egg</c:v>
                </c:pt>
                <c:pt idx="5">
                  <c:v>Pear au Lait</c:v>
                </c:pt>
                <c:pt idx="6">
                  <c:v>Green Curry</c:v>
                </c:pt>
                <c:pt idx="7">
                  <c:v>Pamama au Lait</c:v>
                </c:pt>
                <c:pt idx="8">
                  <c:v>Pumpkin Pie</c:v>
                </c:pt>
                <c:pt idx="9">
                  <c:v>Rolanberry Pie</c:v>
                </c:pt>
                <c:pt idx="10">
                  <c:v>Hedgehog Pie</c:v>
                </c:pt>
                <c:pt idx="11">
                  <c:v>Dawn Mulsum</c:v>
                </c:pt>
                <c:pt idx="12">
                  <c:v>Red Curry</c:v>
                </c:pt>
              </c:strCache>
            </c:strRef>
          </c:cat>
          <c:val>
            <c:numRef>
              <c:f>Charts!$D$39:$D$51</c:f>
              <c:numCache>
                <c:formatCode>0.00%</c:formatCode>
                <c:ptCount val="13"/>
                <c:pt idx="0">
                  <c:v>0.10963855421686747</c:v>
                </c:pt>
                <c:pt idx="1">
                  <c:v>0.12676056338028169</c:v>
                </c:pt>
                <c:pt idx="2">
                  <c:v>0.23076923076923078</c:v>
                </c:pt>
                <c:pt idx="3">
                  <c:v>0.17499999999999999</c:v>
                </c:pt>
                <c:pt idx="4">
                  <c:v>0.16326530612244897</c:v>
                </c:pt>
                <c:pt idx="5">
                  <c:v>0.16666666666666666</c:v>
                </c:pt>
                <c:pt idx="6">
                  <c:v>9.7826086956521743E-2</c:v>
                </c:pt>
                <c:pt idx="7">
                  <c:v>0.1111111111111111</c:v>
                </c:pt>
                <c:pt idx="8">
                  <c:v>0.1111111111111111</c:v>
                </c:pt>
                <c:pt idx="9">
                  <c:v>0.15217391304347827</c:v>
                </c:pt>
                <c:pt idx="10">
                  <c:v>7.7669902912621352E-2</c:v>
                </c:pt>
                <c:pt idx="11">
                  <c:v>4.3010752688172046E-2</c:v>
                </c:pt>
                <c:pt idx="12">
                  <c:v>0.14545454545454545</c:v>
                </c:pt>
              </c:numCache>
            </c:numRef>
          </c:val>
        </c:ser>
        <c:ser>
          <c:idx val="3"/>
          <c:order val="3"/>
          <c:tx>
            <c:strRef>
              <c:f>Charts!$E$38</c:f>
              <c:strCache>
                <c:ptCount val="1"/>
                <c:pt idx="0">
                  <c:v>Cap -4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solidFill>
                <a:srgbClr val="FFC000"/>
              </a:solidFill>
              <a:ln>
                <a:solidFill>
                  <a:srgbClr val="FFC000"/>
                </a:solidFill>
              </a:ln>
            </c:spPr>
          </c:marker>
          <c:cat>
            <c:strRef>
              <c:f>Charts!$A$39:$A$51</c:f>
              <c:strCache>
                <c:ptCount val="13"/>
                <c:pt idx="0">
                  <c:v>Average</c:v>
                </c:pt>
                <c:pt idx="1">
                  <c:v>Beaugreen Sautee</c:v>
                </c:pt>
                <c:pt idx="2">
                  <c:v>Yagudo Drink</c:v>
                </c:pt>
                <c:pt idx="3">
                  <c:v>Melon Pie</c:v>
                </c:pt>
                <c:pt idx="4">
                  <c:v>Colored Egg</c:v>
                </c:pt>
                <c:pt idx="5">
                  <c:v>Pear au Lait</c:v>
                </c:pt>
                <c:pt idx="6">
                  <c:v>Green Curry</c:v>
                </c:pt>
                <c:pt idx="7">
                  <c:v>Pamama au Lait</c:v>
                </c:pt>
                <c:pt idx="8">
                  <c:v>Pumpkin Pie</c:v>
                </c:pt>
                <c:pt idx="9">
                  <c:v>Rolanberry Pie</c:v>
                </c:pt>
                <c:pt idx="10">
                  <c:v>Hedgehog Pie</c:v>
                </c:pt>
                <c:pt idx="11">
                  <c:v>Dawn Mulsum</c:v>
                </c:pt>
                <c:pt idx="12">
                  <c:v>Red Curry</c:v>
                </c:pt>
              </c:strCache>
            </c:strRef>
          </c:cat>
          <c:val>
            <c:numRef>
              <c:f>Charts!$E$39:$E$51</c:f>
              <c:numCache>
                <c:formatCode>0.00%</c:formatCode>
                <c:ptCount val="13"/>
                <c:pt idx="0">
                  <c:v>0.20430107526881722</c:v>
                </c:pt>
                <c:pt idx="1">
                  <c:v>0.26923076923076922</c:v>
                </c:pt>
                <c:pt idx="2">
                  <c:v>0.18</c:v>
                </c:pt>
                <c:pt idx="3">
                  <c:v>0.27027027027027029</c:v>
                </c:pt>
                <c:pt idx="4">
                  <c:v>0.46666666666666667</c:v>
                </c:pt>
                <c:pt idx="5">
                  <c:v>0.2857142857142857</c:v>
                </c:pt>
                <c:pt idx="6">
                  <c:v>0.26470588235294118</c:v>
                </c:pt>
                <c:pt idx="7">
                  <c:v>0.17391304347826086</c:v>
                </c:pt>
                <c:pt idx="8">
                  <c:v>9.5890410958904104E-2</c:v>
                </c:pt>
                <c:pt idx="9">
                  <c:v>0.2</c:v>
                </c:pt>
                <c:pt idx="10">
                  <c:v>0.17499999999999999</c:v>
                </c:pt>
              </c:numCache>
            </c:numRef>
          </c:val>
        </c:ser>
        <c:ser>
          <c:idx val="4"/>
          <c:order val="4"/>
          <c:tx>
            <c:strRef>
              <c:f>Charts!$F$38</c:f>
              <c:strCache>
                <c:ptCount val="1"/>
                <c:pt idx="0">
                  <c:v>Cap -5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solidFill>
                <a:schemeClr val="accent6">
                  <a:lumMod val="75000"/>
                </a:schemeClr>
              </a:solidFill>
              <a:ln>
                <a:solidFill>
                  <a:srgbClr val="F79646">
                    <a:lumMod val="75000"/>
                  </a:srgbClr>
                </a:solidFill>
              </a:ln>
            </c:spPr>
          </c:marker>
          <c:cat>
            <c:strRef>
              <c:f>Charts!$A$39:$A$51</c:f>
              <c:strCache>
                <c:ptCount val="13"/>
                <c:pt idx="0">
                  <c:v>Average</c:v>
                </c:pt>
                <c:pt idx="1">
                  <c:v>Beaugreen Sautee</c:v>
                </c:pt>
                <c:pt idx="2">
                  <c:v>Yagudo Drink</c:v>
                </c:pt>
                <c:pt idx="3">
                  <c:v>Melon Pie</c:v>
                </c:pt>
                <c:pt idx="4">
                  <c:v>Colored Egg</c:v>
                </c:pt>
                <c:pt idx="5">
                  <c:v>Pear au Lait</c:v>
                </c:pt>
                <c:pt idx="6">
                  <c:v>Green Curry</c:v>
                </c:pt>
                <c:pt idx="7">
                  <c:v>Pamama au Lait</c:v>
                </c:pt>
                <c:pt idx="8">
                  <c:v>Pumpkin Pie</c:v>
                </c:pt>
                <c:pt idx="9">
                  <c:v>Rolanberry Pie</c:v>
                </c:pt>
                <c:pt idx="10">
                  <c:v>Hedgehog Pie</c:v>
                </c:pt>
                <c:pt idx="11">
                  <c:v>Dawn Mulsum</c:v>
                </c:pt>
                <c:pt idx="12">
                  <c:v>Red Curry</c:v>
                </c:pt>
              </c:strCache>
            </c:strRef>
          </c:cat>
          <c:val>
            <c:numRef>
              <c:f>Charts!$F$39:$F$51</c:f>
              <c:numCache>
                <c:formatCode>0.00%</c:formatCode>
                <c:ptCount val="13"/>
                <c:pt idx="0">
                  <c:v>0.30303030303030304</c:v>
                </c:pt>
                <c:pt idx="1">
                  <c:v>0.7142857142857143</c:v>
                </c:pt>
                <c:pt idx="2">
                  <c:v>0.5</c:v>
                </c:pt>
                <c:pt idx="7">
                  <c:v>0.35714285714285715</c:v>
                </c:pt>
                <c:pt idx="9">
                  <c:v>0.16216216216216217</c:v>
                </c:pt>
              </c:numCache>
            </c:numRef>
          </c:val>
        </c:ser>
        <c:ser>
          <c:idx val="5"/>
          <c:order val="5"/>
          <c:tx>
            <c:strRef>
              <c:f>Charts!$G$38</c:f>
              <c:strCache>
                <c:ptCount val="1"/>
                <c:pt idx="0">
                  <c:v>Cap -6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solidFill>
                <a:srgbClr val="FF0000"/>
              </a:solidFill>
            </c:spPr>
          </c:marker>
          <c:cat>
            <c:strRef>
              <c:f>Charts!$A$39:$A$51</c:f>
              <c:strCache>
                <c:ptCount val="13"/>
                <c:pt idx="0">
                  <c:v>Average</c:v>
                </c:pt>
                <c:pt idx="1">
                  <c:v>Beaugreen Sautee</c:v>
                </c:pt>
                <c:pt idx="2">
                  <c:v>Yagudo Drink</c:v>
                </c:pt>
                <c:pt idx="3">
                  <c:v>Melon Pie</c:v>
                </c:pt>
                <c:pt idx="4">
                  <c:v>Colored Egg</c:v>
                </c:pt>
                <c:pt idx="5">
                  <c:v>Pear au Lait</c:v>
                </c:pt>
                <c:pt idx="6">
                  <c:v>Green Curry</c:v>
                </c:pt>
                <c:pt idx="7">
                  <c:v>Pamama au Lait</c:v>
                </c:pt>
                <c:pt idx="8">
                  <c:v>Pumpkin Pie</c:v>
                </c:pt>
                <c:pt idx="9">
                  <c:v>Rolanberry Pie</c:v>
                </c:pt>
                <c:pt idx="10">
                  <c:v>Hedgehog Pie</c:v>
                </c:pt>
                <c:pt idx="11">
                  <c:v>Dawn Mulsum</c:v>
                </c:pt>
                <c:pt idx="12">
                  <c:v>Red Curry</c:v>
                </c:pt>
              </c:strCache>
            </c:strRef>
          </c:cat>
          <c:val>
            <c:numRef>
              <c:f>Charts!$G$39:$G$51</c:f>
              <c:numCache>
                <c:formatCode>0.00%</c:formatCode>
                <c:ptCount val="13"/>
              </c:numCache>
            </c:numRef>
          </c:val>
        </c:ser>
        <c:ser>
          <c:idx val="6"/>
          <c:order val="6"/>
          <c:tx>
            <c:strRef>
              <c:f>Charts!$H$38</c:f>
              <c:strCache>
                <c:ptCount val="1"/>
                <c:pt idx="0">
                  <c:v>Average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circle"/>
            <c:size val="5"/>
            <c:spPr>
              <a:solidFill>
                <a:schemeClr val="tx1"/>
              </a:solidFill>
            </c:spPr>
          </c:marker>
          <c:cat>
            <c:strRef>
              <c:f>Charts!$A$39:$A$51</c:f>
              <c:strCache>
                <c:ptCount val="13"/>
                <c:pt idx="0">
                  <c:v>Average</c:v>
                </c:pt>
                <c:pt idx="1">
                  <c:v>Beaugreen Sautee</c:v>
                </c:pt>
                <c:pt idx="2">
                  <c:v>Yagudo Drink</c:v>
                </c:pt>
                <c:pt idx="3">
                  <c:v>Melon Pie</c:v>
                </c:pt>
                <c:pt idx="4">
                  <c:v>Colored Egg</c:v>
                </c:pt>
                <c:pt idx="5">
                  <c:v>Pear au Lait</c:v>
                </c:pt>
                <c:pt idx="6">
                  <c:v>Green Curry</c:v>
                </c:pt>
                <c:pt idx="7">
                  <c:v>Pamama au Lait</c:v>
                </c:pt>
                <c:pt idx="8">
                  <c:v>Pumpkin Pie</c:v>
                </c:pt>
                <c:pt idx="9">
                  <c:v>Rolanberry Pie</c:v>
                </c:pt>
                <c:pt idx="10">
                  <c:v>Hedgehog Pie</c:v>
                </c:pt>
                <c:pt idx="11">
                  <c:v>Dawn Mulsum</c:v>
                </c:pt>
                <c:pt idx="12">
                  <c:v>Red Curry</c:v>
                </c:pt>
              </c:strCache>
            </c:strRef>
          </c:cat>
          <c:val>
            <c:numRef>
              <c:f>Charts!$H$39:$H$51</c:f>
              <c:numCache>
                <c:formatCode>0.00%</c:formatCode>
                <c:ptCount val="13"/>
                <c:pt idx="0">
                  <c:v>7.5029308323563887E-2</c:v>
                </c:pt>
                <c:pt idx="1">
                  <c:v>0.12286689419795221</c:v>
                </c:pt>
                <c:pt idx="2">
                  <c:v>0.11147540983606558</c:v>
                </c:pt>
                <c:pt idx="3">
                  <c:v>0.10385756676557864</c:v>
                </c:pt>
                <c:pt idx="4">
                  <c:v>0.11510791366906475</c:v>
                </c:pt>
                <c:pt idx="5">
                  <c:v>8.1232492997198882E-2</c:v>
                </c:pt>
                <c:pt idx="6">
                  <c:v>7.3022312373225151E-2</c:v>
                </c:pt>
                <c:pt idx="7">
                  <c:v>7.2265625E-2</c:v>
                </c:pt>
                <c:pt idx="8">
                  <c:v>6.7226890756302518E-2</c:v>
                </c:pt>
                <c:pt idx="9">
                  <c:v>8.8019559902200492E-2</c:v>
                </c:pt>
                <c:pt idx="10">
                  <c:v>4.3126684636118601E-2</c:v>
                </c:pt>
                <c:pt idx="11">
                  <c:v>3.4700315457413249E-2</c:v>
                </c:pt>
                <c:pt idx="12">
                  <c:v>8.1560283687943269E-2</c:v>
                </c:pt>
              </c:numCache>
            </c:numRef>
          </c:val>
        </c:ser>
        <c:marker val="1"/>
        <c:axId val="137444736"/>
        <c:axId val="137454720"/>
      </c:lineChart>
      <c:catAx>
        <c:axId val="137444736"/>
        <c:scaling>
          <c:orientation val="minMax"/>
        </c:scaling>
        <c:axPos val="b"/>
        <c:majorGridlines>
          <c:spPr>
            <a:ln w="25400">
              <a:solidFill>
                <a:sysClr val="windowText" lastClr="000000"/>
              </a:solidFill>
            </a:ln>
          </c:spPr>
        </c:majorGridlines>
        <c:tickLblPos val="nextTo"/>
        <c:crossAx val="137454720"/>
        <c:crosses val="autoZero"/>
        <c:auto val="1"/>
        <c:lblAlgn val="ctr"/>
        <c:lblOffset val="100"/>
      </c:catAx>
      <c:valAx>
        <c:axId val="137454720"/>
        <c:scaling>
          <c:orientation val="minMax"/>
          <c:max val="1"/>
        </c:scaling>
        <c:axPos val="l"/>
        <c:majorGridlines/>
        <c:minorGridlines/>
        <c:numFmt formatCode="0.00%" sourceLinked="1"/>
        <c:tickLblPos val="nextTo"/>
        <c:crossAx val="137444736"/>
        <c:crosses val="autoZero"/>
        <c:crossBetween val="between"/>
        <c:minorUnit val="0.05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Bonecraft</a:t>
            </a:r>
            <a:r>
              <a:rPr lang="en-US" baseline="0"/>
              <a:t> Skill Up%</a:t>
            </a:r>
            <a:endParaRPr lang="en-US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Bonecrafting!$B$157</c:f>
              <c:strCache>
                <c:ptCount val="1"/>
                <c:pt idx="0">
                  <c:v>Skill Up %</c:v>
                </c:pt>
              </c:strCache>
            </c:strRef>
          </c:tx>
          <c:marker>
            <c:symbol val="circle"/>
            <c:size val="5"/>
            <c:spPr>
              <a:solidFill>
                <a:schemeClr val="accent1"/>
              </a:solidFill>
              <a:ln>
                <a:solidFill>
                  <a:schemeClr val="accent1"/>
                </a:solidFill>
              </a:ln>
            </c:spPr>
          </c:marker>
          <c:cat>
            <c:strRef>
              <c:f>Bonecrafting!$A$158:$A$182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Average</c:v>
                </c:pt>
              </c:strCache>
            </c:strRef>
          </c:cat>
          <c:val>
            <c:numRef>
              <c:f>Bonecrafting!$B$158:$B$182</c:f>
              <c:numCache>
                <c:formatCode>0.00%</c:formatCode>
                <c:ptCount val="25"/>
                <c:pt idx="0">
                  <c:v>1</c:v>
                </c:pt>
                <c:pt idx="1">
                  <c:v>0.6428571428571429</c:v>
                </c:pt>
                <c:pt idx="2">
                  <c:v>0.8571428571428571</c:v>
                </c:pt>
                <c:pt idx="3">
                  <c:v>1</c:v>
                </c:pt>
                <c:pt idx="4">
                  <c:v>0.46666666666666667</c:v>
                </c:pt>
                <c:pt idx="5">
                  <c:v>0.8</c:v>
                </c:pt>
                <c:pt idx="6">
                  <c:v>0.75</c:v>
                </c:pt>
                <c:pt idx="7">
                  <c:v>0.625</c:v>
                </c:pt>
                <c:pt idx="8">
                  <c:v>1</c:v>
                </c:pt>
                <c:pt idx="9">
                  <c:v>1</c:v>
                </c:pt>
                <c:pt idx="10">
                  <c:v>0.625</c:v>
                </c:pt>
                <c:pt idx="11">
                  <c:v>0.58333333333333337</c:v>
                </c:pt>
                <c:pt idx="12">
                  <c:v>0.75</c:v>
                </c:pt>
                <c:pt idx="13">
                  <c:v>0.66666666666666663</c:v>
                </c:pt>
                <c:pt idx="14">
                  <c:v>0.53846153846153844</c:v>
                </c:pt>
                <c:pt idx="15">
                  <c:v>0.66666666666666663</c:v>
                </c:pt>
                <c:pt idx="16">
                  <c:v>0.66666666666666663</c:v>
                </c:pt>
                <c:pt idx="17">
                  <c:v>0.54545454545454541</c:v>
                </c:pt>
                <c:pt idx="18">
                  <c:v>0.5</c:v>
                </c:pt>
                <c:pt idx="19">
                  <c:v>0.58333333333333337</c:v>
                </c:pt>
                <c:pt idx="20">
                  <c:v>0.77777777777777779</c:v>
                </c:pt>
                <c:pt idx="21">
                  <c:v>0.5</c:v>
                </c:pt>
                <c:pt idx="22">
                  <c:v>0.38461538461538464</c:v>
                </c:pt>
                <c:pt idx="23">
                  <c:v>0.66666666666666663</c:v>
                </c:pt>
                <c:pt idx="24">
                  <c:v>0.6415929203539823</c:v>
                </c:pt>
              </c:numCache>
            </c:numRef>
          </c:val>
        </c:ser>
        <c:marker val="1"/>
        <c:axId val="137101312"/>
        <c:axId val="137102848"/>
      </c:lineChart>
      <c:catAx>
        <c:axId val="137101312"/>
        <c:scaling>
          <c:orientation val="minMax"/>
        </c:scaling>
        <c:axPos val="b"/>
        <c:majorGridlines>
          <c:spPr>
            <a:ln>
              <a:solidFill>
                <a:sysClr val="windowText" lastClr="000000"/>
              </a:solidFill>
            </a:ln>
          </c:spPr>
        </c:majorGridlines>
        <c:tickLblPos val="nextTo"/>
        <c:crossAx val="137102848"/>
        <c:crosses val="autoZero"/>
        <c:auto val="1"/>
        <c:lblAlgn val="ctr"/>
        <c:lblOffset val="100"/>
      </c:catAx>
      <c:valAx>
        <c:axId val="137102848"/>
        <c:scaling>
          <c:orientation val="minMax"/>
        </c:scaling>
        <c:axPos val="l"/>
        <c:majorGridlines/>
        <c:minorGridlines/>
        <c:numFmt formatCode="0.00%" sourceLinked="1"/>
        <c:tickLblPos val="nextTo"/>
        <c:crossAx val="137101312"/>
        <c:crosses val="autoZero"/>
        <c:crossBetween val="between"/>
        <c:majorUnit val="0.1"/>
        <c:minorUnit val="0.05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baseline="0"/>
              <a:t>Cooking Skill Up%</a:t>
            </a:r>
            <a:endParaRPr lang="en-US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Bonecrafting!$B$157</c:f>
              <c:strCache>
                <c:ptCount val="1"/>
                <c:pt idx="0">
                  <c:v>Skill Up %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circle"/>
            <c:size val="5"/>
            <c:spPr>
              <a:solidFill>
                <a:srgbClr val="002060"/>
              </a:solidFill>
              <a:ln>
                <a:solidFill>
                  <a:srgbClr val="002060"/>
                </a:solidFill>
              </a:ln>
            </c:spPr>
          </c:marker>
          <c:cat>
            <c:strRef>
              <c:f>Bonecrafting!$N$158:$N$182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Average</c:v>
                </c:pt>
              </c:strCache>
            </c:strRef>
          </c:cat>
          <c:val>
            <c:numRef>
              <c:f>Bonecrafting!$O$158:$O$182</c:f>
              <c:numCache>
                <c:formatCode>0.00%</c:formatCode>
                <c:ptCount val="25"/>
                <c:pt idx="0">
                  <c:v>0.69230769230769229</c:v>
                </c:pt>
                <c:pt idx="1">
                  <c:v>0.35</c:v>
                </c:pt>
                <c:pt idx="2">
                  <c:v>0.16071428571428573</c:v>
                </c:pt>
                <c:pt idx="3">
                  <c:v>0.61538461538461542</c:v>
                </c:pt>
                <c:pt idx="4">
                  <c:v>0.41176470588235292</c:v>
                </c:pt>
                <c:pt idx="5">
                  <c:v>0.30303030303030304</c:v>
                </c:pt>
                <c:pt idx="6">
                  <c:v>0.6</c:v>
                </c:pt>
                <c:pt idx="7">
                  <c:v>0.52941176470588236</c:v>
                </c:pt>
                <c:pt idx="8">
                  <c:v>0.5</c:v>
                </c:pt>
                <c:pt idx="9">
                  <c:v>0.27586206896551724</c:v>
                </c:pt>
                <c:pt idx="10">
                  <c:v>0.7</c:v>
                </c:pt>
                <c:pt idx="11">
                  <c:v>0.33333333333333331</c:v>
                </c:pt>
                <c:pt idx="12">
                  <c:v>0.3</c:v>
                </c:pt>
                <c:pt idx="13">
                  <c:v>0.1875</c:v>
                </c:pt>
                <c:pt idx="14">
                  <c:v>1</c:v>
                </c:pt>
                <c:pt idx="15">
                  <c:v>0.625</c:v>
                </c:pt>
                <c:pt idx="16">
                  <c:v>0.90909090909090906</c:v>
                </c:pt>
                <c:pt idx="17">
                  <c:v>0.4375</c:v>
                </c:pt>
                <c:pt idx="18">
                  <c:v>0.47368421052631576</c:v>
                </c:pt>
                <c:pt idx="19">
                  <c:v>0.27272727272727271</c:v>
                </c:pt>
                <c:pt idx="20">
                  <c:v>0.6</c:v>
                </c:pt>
                <c:pt idx="21">
                  <c:v>0.375</c:v>
                </c:pt>
                <c:pt idx="22">
                  <c:v>0.52941176470588236</c:v>
                </c:pt>
                <c:pt idx="23">
                  <c:v>0.18604651162790697</c:v>
                </c:pt>
                <c:pt idx="24">
                  <c:v>0.36542239685658151</c:v>
                </c:pt>
              </c:numCache>
            </c:numRef>
          </c:val>
        </c:ser>
        <c:marker val="1"/>
        <c:axId val="139850112"/>
        <c:axId val="183047296"/>
      </c:lineChart>
      <c:catAx>
        <c:axId val="139850112"/>
        <c:scaling>
          <c:orientation val="minMax"/>
        </c:scaling>
        <c:axPos val="b"/>
        <c:majorGridlines>
          <c:spPr>
            <a:ln>
              <a:solidFill>
                <a:sysClr val="windowText" lastClr="000000"/>
              </a:solidFill>
            </a:ln>
          </c:spPr>
        </c:majorGridlines>
        <c:tickLblPos val="nextTo"/>
        <c:crossAx val="183047296"/>
        <c:crosses val="autoZero"/>
        <c:auto val="1"/>
        <c:lblAlgn val="ctr"/>
        <c:lblOffset val="100"/>
      </c:catAx>
      <c:valAx>
        <c:axId val="183047296"/>
        <c:scaling>
          <c:orientation val="minMax"/>
        </c:scaling>
        <c:axPos val="l"/>
        <c:majorGridlines/>
        <c:minorGridlines/>
        <c:numFmt formatCode="0.00%" sourceLinked="1"/>
        <c:tickLblPos val="nextTo"/>
        <c:crossAx val="139850112"/>
        <c:crosses val="autoZero"/>
        <c:crossBetween val="between"/>
        <c:majorUnit val="0.1"/>
        <c:minorUnit val="0.05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14</xdr:row>
      <xdr:rowOff>85724</xdr:rowOff>
    </xdr:from>
    <xdr:to>
      <xdr:col>7</xdr:col>
      <xdr:colOff>714375</xdr:colOff>
      <xdr:row>36</xdr:row>
      <xdr:rowOff>104775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85725</xdr:colOff>
      <xdr:row>51</xdr:row>
      <xdr:rowOff>85725</xdr:rowOff>
    </xdr:from>
    <xdr:to>
      <xdr:col>7</xdr:col>
      <xdr:colOff>723901</xdr:colOff>
      <xdr:row>73</xdr:row>
      <xdr:rowOff>104776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</xdr:colOff>
      <xdr:row>157</xdr:row>
      <xdr:rowOff>57149</xdr:rowOff>
    </xdr:from>
    <xdr:to>
      <xdr:col>12</xdr:col>
      <xdr:colOff>0</xdr:colOff>
      <xdr:row>181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85725</xdr:colOff>
      <xdr:row>157</xdr:row>
      <xdr:rowOff>66675</xdr:rowOff>
    </xdr:from>
    <xdr:to>
      <xdr:col>25</xdr:col>
      <xdr:colOff>190501</xdr:colOff>
      <xdr:row>181</xdr:row>
      <xdr:rowOff>171451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4"/>
  <sheetViews>
    <sheetView topLeftCell="A16" workbookViewId="0">
      <selection sqref="A1:A1048576"/>
    </sheetView>
  </sheetViews>
  <sheetFormatPr defaultRowHeight="15"/>
  <cols>
    <col min="1" max="1" width="19.85546875" bestFit="1" customWidth="1"/>
    <col min="2" max="2" width="10.42578125" bestFit="1" customWidth="1"/>
    <col min="10" max="10" width="11.85546875" bestFit="1" customWidth="1"/>
    <col min="13" max="13" width="22" bestFit="1" customWidth="1"/>
    <col min="14" max="14" width="26.28515625" bestFit="1" customWidth="1"/>
  </cols>
  <sheetData>
    <row r="1" spans="1:14">
      <c r="A1" s="1" t="s">
        <v>10</v>
      </c>
      <c r="B1" s="1" t="s">
        <v>0</v>
      </c>
      <c r="C1" t="s">
        <v>4</v>
      </c>
      <c r="D1" s="1" t="s">
        <v>1</v>
      </c>
      <c r="E1" s="1" t="s">
        <v>2</v>
      </c>
      <c r="F1" s="1" t="s">
        <v>3</v>
      </c>
      <c r="G1" s="1" t="s">
        <v>7</v>
      </c>
      <c r="H1" s="1" t="s">
        <v>5</v>
      </c>
      <c r="I1" s="1" t="s">
        <v>6</v>
      </c>
      <c r="J1" s="1" t="s">
        <v>16</v>
      </c>
      <c r="K1" s="1" t="s">
        <v>8</v>
      </c>
      <c r="L1" s="1" t="s">
        <v>9</v>
      </c>
    </row>
    <row r="2" spans="1:14">
      <c r="A2" s="3" t="s">
        <v>11</v>
      </c>
      <c r="B2" s="4">
        <v>0</v>
      </c>
      <c r="C2" s="4">
        <v>3</v>
      </c>
      <c r="D2" s="4">
        <v>0.2</v>
      </c>
      <c r="E2" s="4">
        <v>1</v>
      </c>
      <c r="F2" s="4">
        <v>0</v>
      </c>
      <c r="G2" s="4">
        <v>1</v>
      </c>
      <c r="H2" s="5">
        <f t="shared" ref="H2:H65" si="0">1/G2</f>
        <v>1</v>
      </c>
      <c r="I2" s="5">
        <f>9/13</f>
        <v>0.69230769230769229</v>
      </c>
      <c r="J2" s="5">
        <f>11/13</f>
        <v>0.84615384615384615</v>
      </c>
      <c r="K2" s="4">
        <v>13</v>
      </c>
      <c r="L2" s="6">
        <v>9</v>
      </c>
      <c r="M2" s="22" t="s">
        <v>20</v>
      </c>
      <c r="N2" s="22" t="s">
        <v>21</v>
      </c>
    </row>
    <row r="3" spans="1:14">
      <c r="A3" s="7" t="s">
        <v>12</v>
      </c>
      <c r="B3" s="8">
        <v>0</v>
      </c>
      <c r="C3" s="8">
        <v>3</v>
      </c>
      <c r="D3" s="8">
        <v>0.1</v>
      </c>
      <c r="E3" s="8">
        <v>1</v>
      </c>
      <c r="F3" s="8">
        <v>0</v>
      </c>
      <c r="G3" s="8">
        <v>1</v>
      </c>
      <c r="H3" s="9">
        <f t="shared" si="0"/>
        <v>1</v>
      </c>
      <c r="I3" s="8"/>
      <c r="J3" s="8"/>
      <c r="K3" s="8"/>
      <c r="L3" s="10"/>
      <c r="M3" s="23">
        <f>25/89</f>
        <v>0.2808988764044944</v>
      </c>
      <c r="N3" s="23">
        <f>30/89</f>
        <v>0.33707865168539325</v>
      </c>
    </row>
    <row r="4" spans="1:14">
      <c r="A4" s="7"/>
      <c r="B4" s="8">
        <v>0</v>
      </c>
      <c r="C4" s="8">
        <v>3</v>
      </c>
      <c r="D4" s="8">
        <v>0.1</v>
      </c>
      <c r="E4" s="8">
        <v>0</v>
      </c>
      <c r="F4" s="8">
        <v>1</v>
      </c>
      <c r="G4" s="8">
        <v>1</v>
      </c>
      <c r="H4" s="9">
        <f t="shared" si="0"/>
        <v>1</v>
      </c>
      <c r="I4" s="8"/>
      <c r="J4" s="8"/>
      <c r="K4" s="8"/>
      <c r="L4" s="10"/>
      <c r="M4" s="22" t="s">
        <v>22</v>
      </c>
      <c r="N4" s="22" t="s">
        <v>23</v>
      </c>
    </row>
    <row r="5" spans="1:14">
      <c r="A5" s="7"/>
      <c r="B5" s="8">
        <v>0</v>
      </c>
      <c r="C5" s="8">
        <v>3</v>
      </c>
      <c r="D5" s="8">
        <v>0.1</v>
      </c>
      <c r="E5" s="8">
        <v>1</v>
      </c>
      <c r="F5" s="8">
        <v>1</v>
      </c>
      <c r="G5" s="8">
        <v>2</v>
      </c>
      <c r="H5" s="9">
        <f t="shared" si="0"/>
        <v>0.5</v>
      </c>
      <c r="I5" s="8"/>
      <c r="J5" s="8"/>
      <c r="K5" s="8"/>
      <c r="L5" s="10"/>
      <c r="M5" s="2">
        <f>25/63</f>
        <v>0.3968253968253968</v>
      </c>
      <c r="N5" s="2">
        <f>30/63</f>
        <v>0.47619047619047616</v>
      </c>
    </row>
    <row r="6" spans="1:14">
      <c r="A6" s="7"/>
      <c r="B6" s="8">
        <v>0</v>
      </c>
      <c r="C6" s="8">
        <v>3</v>
      </c>
      <c r="D6" s="8">
        <v>0.1</v>
      </c>
      <c r="E6" s="8">
        <v>1</v>
      </c>
      <c r="F6" s="8">
        <v>0</v>
      </c>
      <c r="G6" s="8">
        <v>1</v>
      </c>
      <c r="H6" s="9">
        <f t="shared" si="0"/>
        <v>1</v>
      </c>
      <c r="I6" s="8"/>
      <c r="J6" s="8"/>
      <c r="K6" s="8"/>
      <c r="L6" s="10"/>
      <c r="M6" s="22" t="s">
        <v>24</v>
      </c>
      <c r="N6" s="22" t="s">
        <v>25</v>
      </c>
    </row>
    <row r="7" spans="1:14">
      <c r="A7" s="7"/>
      <c r="B7" s="8">
        <v>0</v>
      </c>
      <c r="C7" s="8">
        <v>3</v>
      </c>
      <c r="D7" s="8">
        <v>0.1</v>
      </c>
      <c r="E7" s="8">
        <v>2</v>
      </c>
      <c r="F7" s="8">
        <v>0</v>
      </c>
      <c r="G7" s="8">
        <v>2</v>
      </c>
      <c r="H7" s="9">
        <f t="shared" si="0"/>
        <v>0.5</v>
      </c>
      <c r="I7" s="8"/>
      <c r="J7" s="8"/>
      <c r="K7" s="8"/>
      <c r="L7" s="10"/>
      <c r="M7" s="2">
        <f>30/70</f>
        <v>0.42857142857142855</v>
      </c>
      <c r="N7" s="2">
        <f>41/70</f>
        <v>0.58571428571428574</v>
      </c>
    </row>
    <row r="8" spans="1:14">
      <c r="A8" s="7"/>
      <c r="B8" s="8">
        <v>0</v>
      </c>
      <c r="C8" s="8">
        <v>3</v>
      </c>
      <c r="D8" s="8">
        <v>0.1</v>
      </c>
      <c r="E8" s="8">
        <v>1</v>
      </c>
      <c r="F8" s="8">
        <v>1</v>
      </c>
      <c r="G8" s="8">
        <v>2</v>
      </c>
      <c r="H8" s="9">
        <f t="shared" si="0"/>
        <v>0.5</v>
      </c>
      <c r="I8" s="8"/>
      <c r="J8" s="8"/>
      <c r="K8" s="8"/>
      <c r="L8" s="10"/>
      <c r="M8" s="22" t="s">
        <v>27</v>
      </c>
      <c r="N8" s="22" t="s">
        <v>26</v>
      </c>
    </row>
    <row r="9" spans="1:14">
      <c r="A9" s="7"/>
      <c r="B9" s="8">
        <v>0</v>
      </c>
      <c r="C9" s="8">
        <v>3</v>
      </c>
      <c r="D9" s="8">
        <v>0.1</v>
      </c>
      <c r="E9" s="8">
        <v>1</v>
      </c>
      <c r="F9" s="8">
        <v>1</v>
      </c>
      <c r="G9" s="8">
        <v>2</v>
      </c>
      <c r="H9" s="9">
        <f t="shared" si="0"/>
        <v>0.5</v>
      </c>
      <c r="I9" s="8"/>
      <c r="J9" s="8"/>
      <c r="K9" s="8"/>
      <c r="L9" s="10"/>
      <c r="M9" s="2">
        <f>80/222</f>
        <v>0.36036036036036034</v>
      </c>
      <c r="N9" s="2">
        <f>101/222</f>
        <v>0.45495495495495497</v>
      </c>
    </row>
    <row r="10" spans="1:14">
      <c r="A10" s="11"/>
      <c r="B10" s="12">
        <v>0</v>
      </c>
      <c r="C10" s="12">
        <v>3</v>
      </c>
      <c r="D10" s="12">
        <v>0.2</v>
      </c>
      <c r="E10" s="12">
        <v>1</v>
      </c>
      <c r="F10" s="12">
        <v>0</v>
      </c>
      <c r="G10" s="12">
        <v>1</v>
      </c>
      <c r="H10" s="13">
        <f t="shared" si="0"/>
        <v>1</v>
      </c>
      <c r="I10" s="12"/>
      <c r="J10" s="12"/>
      <c r="K10" s="12">
        <f>SUM(G2:G10)</f>
        <v>13</v>
      </c>
      <c r="L10" s="14">
        <f>SUM(E2:E10)</f>
        <v>9</v>
      </c>
      <c r="M10" s="22" t="s">
        <v>29</v>
      </c>
      <c r="N10" s="22" t="s">
        <v>30</v>
      </c>
    </row>
    <row r="11" spans="1:14">
      <c r="A11" s="3" t="s">
        <v>11</v>
      </c>
      <c r="B11" s="4">
        <v>1</v>
      </c>
      <c r="C11" s="4">
        <v>3</v>
      </c>
      <c r="D11" s="4">
        <v>0.1</v>
      </c>
      <c r="E11" s="4">
        <v>2</v>
      </c>
      <c r="F11" s="4">
        <v>0</v>
      </c>
      <c r="G11" s="4">
        <v>2</v>
      </c>
      <c r="H11" s="5">
        <f t="shared" si="0"/>
        <v>0.5</v>
      </c>
      <c r="I11" s="5">
        <f>7/20</f>
        <v>0.35</v>
      </c>
      <c r="J11" s="5">
        <f>9/20</f>
        <v>0.45</v>
      </c>
      <c r="K11" s="4">
        <v>33</v>
      </c>
      <c r="L11" s="6">
        <v>25</v>
      </c>
      <c r="M11" s="2">
        <f>32/109</f>
        <v>0.29357798165137616</v>
      </c>
      <c r="N11" s="2">
        <f>39/109</f>
        <v>0.3577981651376147</v>
      </c>
    </row>
    <row r="12" spans="1:14">
      <c r="A12" s="7" t="s">
        <v>13</v>
      </c>
      <c r="B12" s="8">
        <v>1</v>
      </c>
      <c r="C12" s="8">
        <v>3</v>
      </c>
      <c r="D12" s="8">
        <v>0.2</v>
      </c>
      <c r="E12" s="8">
        <v>6</v>
      </c>
      <c r="F12" s="8">
        <v>2</v>
      </c>
      <c r="G12" s="8">
        <v>8</v>
      </c>
      <c r="H12" s="9">
        <f t="shared" si="0"/>
        <v>0.125</v>
      </c>
      <c r="I12" s="8"/>
      <c r="J12" s="8"/>
      <c r="K12" s="8"/>
      <c r="L12" s="10"/>
      <c r="M12" s="22" t="s">
        <v>34</v>
      </c>
      <c r="N12" s="22" t="s">
        <v>35</v>
      </c>
    </row>
    <row r="13" spans="1:14">
      <c r="A13" s="7"/>
      <c r="B13" s="8">
        <v>1</v>
      </c>
      <c r="C13" s="8">
        <v>3</v>
      </c>
      <c r="D13" s="8">
        <v>0.1</v>
      </c>
      <c r="E13" s="8">
        <v>1</v>
      </c>
      <c r="F13" s="8">
        <v>1</v>
      </c>
      <c r="G13" s="8">
        <v>2</v>
      </c>
      <c r="H13" s="9">
        <f t="shared" si="0"/>
        <v>0.5</v>
      </c>
      <c r="I13" s="8"/>
      <c r="J13" s="8"/>
      <c r="K13" s="8"/>
      <c r="L13" s="10"/>
      <c r="M13" s="2">
        <f>45/92</f>
        <v>0.4891304347826087</v>
      </c>
      <c r="N13" s="2">
        <f>60/92</f>
        <v>0.65217391304347827</v>
      </c>
    </row>
    <row r="14" spans="1:14">
      <c r="A14" s="7"/>
      <c r="B14" s="8">
        <v>1</v>
      </c>
      <c r="C14" s="8">
        <v>3</v>
      </c>
      <c r="D14" s="8">
        <v>0.1</v>
      </c>
      <c r="E14" s="8">
        <v>1</v>
      </c>
      <c r="F14" s="8">
        <v>0</v>
      </c>
      <c r="G14" s="8">
        <v>1</v>
      </c>
      <c r="H14" s="9">
        <f t="shared" si="0"/>
        <v>1</v>
      </c>
      <c r="I14" s="8"/>
      <c r="J14" s="8"/>
      <c r="K14" s="8"/>
      <c r="L14" s="10"/>
      <c r="M14" s="22" t="s">
        <v>37</v>
      </c>
      <c r="N14" s="22" t="s">
        <v>36</v>
      </c>
    </row>
    <row r="15" spans="1:14">
      <c r="A15" s="7"/>
      <c r="B15" s="8">
        <v>1</v>
      </c>
      <c r="C15" s="8">
        <v>3</v>
      </c>
      <c r="D15" s="8">
        <v>0.1</v>
      </c>
      <c r="E15" s="8">
        <v>3</v>
      </c>
      <c r="F15" s="8">
        <v>0</v>
      </c>
      <c r="G15" s="8">
        <v>3</v>
      </c>
      <c r="H15" s="9">
        <f t="shared" si="0"/>
        <v>0.33333333333333331</v>
      </c>
      <c r="I15" s="8"/>
      <c r="J15" s="8"/>
      <c r="K15" s="8"/>
      <c r="L15" s="10"/>
      <c r="M15" s="2">
        <f>77/201</f>
        <v>0.38308457711442784</v>
      </c>
      <c r="N15" s="2">
        <f>99/201</f>
        <v>0.4925373134328358</v>
      </c>
    </row>
    <row r="16" spans="1:14">
      <c r="A16" s="7"/>
      <c r="B16" s="8">
        <v>1</v>
      </c>
      <c r="C16" s="8">
        <v>3</v>
      </c>
      <c r="D16" s="8">
        <v>0.1</v>
      </c>
      <c r="E16" s="8">
        <v>2</v>
      </c>
      <c r="F16" s="8">
        <v>1</v>
      </c>
      <c r="G16" s="8">
        <v>3</v>
      </c>
      <c r="H16" s="9">
        <f t="shared" si="0"/>
        <v>0.33333333333333331</v>
      </c>
      <c r="I16" s="8"/>
      <c r="J16" s="8"/>
      <c r="K16" s="8"/>
      <c r="L16" s="10"/>
      <c r="M16" s="22" t="s">
        <v>38</v>
      </c>
      <c r="N16" s="22" t="s">
        <v>39</v>
      </c>
    </row>
    <row r="17" spans="1:14">
      <c r="A17" s="11"/>
      <c r="B17" s="12">
        <v>1</v>
      </c>
      <c r="C17" s="12">
        <v>3</v>
      </c>
      <c r="D17" s="12">
        <v>0.2</v>
      </c>
      <c r="E17" s="12">
        <v>1</v>
      </c>
      <c r="F17" s="12">
        <v>0</v>
      </c>
      <c r="G17" s="12">
        <v>1</v>
      </c>
      <c r="H17" s="13">
        <f t="shared" si="0"/>
        <v>1</v>
      </c>
      <c r="I17" s="12"/>
      <c r="J17" s="12"/>
      <c r="K17" s="12">
        <f>SUM(G2:G17)</f>
        <v>33</v>
      </c>
      <c r="L17" s="14">
        <f>SUM(E2:E17)</f>
        <v>25</v>
      </c>
      <c r="M17" s="2">
        <f>157/423</f>
        <v>0.37115839243498816</v>
      </c>
      <c r="N17" s="2">
        <f>200/423</f>
        <v>0.4728132387706856</v>
      </c>
    </row>
    <row r="18" spans="1:14">
      <c r="A18" s="3" t="s">
        <v>11</v>
      </c>
      <c r="B18" s="17">
        <v>2</v>
      </c>
      <c r="C18" s="17">
        <v>3</v>
      </c>
      <c r="D18" s="17">
        <v>0.1</v>
      </c>
      <c r="E18" s="17">
        <v>3</v>
      </c>
      <c r="F18" s="17">
        <v>0</v>
      </c>
      <c r="G18" s="17">
        <v>3</v>
      </c>
      <c r="H18" s="18">
        <f t="shared" si="0"/>
        <v>0.33333333333333331</v>
      </c>
      <c r="I18" s="5">
        <f>9/56</f>
        <v>0.16071428571428573</v>
      </c>
      <c r="J18" s="5">
        <f>10/56</f>
        <v>0.17857142857142858</v>
      </c>
      <c r="K18" s="4">
        <v>89</v>
      </c>
      <c r="L18" s="6">
        <v>70</v>
      </c>
      <c r="M18" s="22" t="s">
        <v>41</v>
      </c>
      <c r="N18" s="22" t="s">
        <v>42</v>
      </c>
    </row>
    <row r="19" spans="1:14">
      <c r="A19" s="7" t="s">
        <v>14</v>
      </c>
      <c r="B19" s="15">
        <v>2</v>
      </c>
      <c r="C19" s="15">
        <v>3</v>
      </c>
      <c r="D19" s="15">
        <v>0.1</v>
      </c>
      <c r="E19" s="15">
        <v>1</v>
      </c>
      <c r="F19" s="15">
        <v>0</v>
      </c>
      <c r="G19" s="15">
        <v>1</v>
      </c>
      <c r="H19" s="16">
        <f t="shared" si="0"/>
        <v>1</v>
      </c>
      <c r="I19" s="8"/>
      <c r="J19" s="8"/>
      <c r="K19" s="8"/>
      <c r="L19" s="10"/>
      <c r="M19" s="2">
        <f>37/144</f>
        <v>0.25694444444444442</v>
      </c>
      <c r="N19" s="2">
        <f>50/144</f>
        <v>0.34722222222222221</v>
      </c>
    </row>
    <row r="20" spans="1:14">
      <c r="A20" s="7"/>
      <c r="B20" s="15">
        <v>2</v>
      </c>
      <c r="C20" s="15">
        <v>3</v>
      </c>
      <c r="D20" s="15">
        <v>0.1</v>
      </c>
      <c r="E20" s="15">
        <v>15</v>
      </c>
      <c r="F20" s="15">
        <v>2</v>
      </c>
      <c r="G20" s="15">
        <v>17</v>
      </c>
      <c r="H20" s="16">
        <f t="shared" si="0"/>
        <v>5.8823529411764705E-2</v>
      </c>
      <c r="I20" s="8"/>
      <c r="J20" s="8"/>
      <c r="K20" s="8"/>
      <c r="L20" s="10"/>
      <c r="M20" s="22" t="s">
        <v>44</v>
      </c>
      <c r="N20" s="22" t="s">
        <v>45</v>
      </c>
    </row>
    <row r="21" spans="1:14">
      <c r="A21" s="7"/>
      <c r="B21" s="15">
        <v>2</v>
      </c>
      <c r="C21" s="15">
        <v>3</v>
      </c>
      <c r="D21" s="15">
        <v>0.2</v>
      </c>
      <c r="E21" s="15">
        <v>3</v>
      </c>
      <c r="F21" s="15">
        <v>0</v>
      </c>
      <c r="G21" s="15">
        <v>3</v>
      </c>
      <c r="H21" s="16">
        <f t="shared" si="0"/>
        <v>0.33333333333333331</v>
      </c>
      <c r="I21" s="8"/>
      <c r="J21" s="8"/>
      <c r="K21" s="8"/>
      <c r="L21" s="10"/>
      <c r="M21" s="2">
        <f>31/117</f>
        <v>0.26495726495726496</v>
      </c>
      <c r="N21" s="2">
        <f>40/117</f>
        <v>0.34188034188034189</v>
      </c>
    </row>
    <row r="22" spans="1:14">
      <c r="A22" s="7"/>
      <c r="B22" s="15">
        <v>2</v>
      </c>
      <c r="C22" s="15">
        <v>3</v>
      </c>
      <c r="D22" s="15">
        <v>0.1</v>
      </c>
      <c r="E22" s="15">
        <v>3</v>
      </c>
      <c r="F22" s="15">
        <v>2</v>
      </c>
      <c r="G22" s="15">
        <v>5</v>
      </c>
      <c r="H22" s="16">
        <f t="shared" si="0"/>
        <v>0.2</v>
      </c>
      <c r="I22" s="8"/>
      <c r="J22" s="8"/>
      <c r="K22" s="8"/>
      <c r="L22" s="10"/>
      <c r="M22" s="22" t="s">
        <v>47</v>
      </c>
      <c r="N22" s="22" t="s">
        <v>48</v>
      </c>
    </row>
    <row r="23" spans="1:14">
      <c r="A23" s="7"/>
      <c r="B23" s="15">
        <v>2</v>
      </c>
      <c r="C23" s="15">
        <v>3</v>
      </c>
      <c r="D23" s="15">
        <v>0.1</v>
      </c>
      <c r="E23" s="15">
        <v>6</v>
      </c>
      <c r="F23" s="15">
        <v>1</v>
      </c>
      <c r="G23" s="15">
        <v>7</v>
      </c>
      <c r="H23" s="16">
        <f t="shared" si="0"/>
        <v>0.14285714285714285</v>
      </c>
      <c r="I23" s="8"/>
      <c r="J23" s="8"/>
      <c r="K23" s="8"/>
      <c r="L23" s="10"/>
      <c r="M23" s="2">
        <f>75/274</f>
        <v>0.27372262773722628</v>
      </c>
      <c r="N23" s="2">
        <f>100/274</f>
        <v>0.36496350364963503</v>
      </c>
    </row>
    <row r="24" spans="1:14">
      <c r="A24" s="7"/>
      <c r="B24" s="15">
        <v>2</v>
      </c>
      <c r="C24" s="15">
        <v>3</v>
      </c>
      <c r="D24" s="15">
        <v>0.1</v>
      </c>
      <c r="E24" s="15">
        <v>1</v>
      </c>
      <c r="F24" s="15">
        <v>0</v>
      </c>
      <c r="G24" s="15">
        <v>1</v>
      </c>
      <c r="H24" s="16">
        <f t="shared" si="0"/>
        <v>1</v>
      </c>
      <c r="I24" s="8"/>
      <c r="J24" s="8"/>
      <c r="K24" s="8"/>
      <c r="L24" s="10"/>
      <c r="M24" s="22" t="s">
        <v>49</v>
      </c>
      <c r="N24" s="22" t="s">
        <v>50</v>
      </c>
    </row>
    <row r="25" spans="1:14">
      <c r="A25" s="7"/>
      <c r="B25" s="15">
        <v>2</v>
      </c>
      <c r="C25" s="15">
        <v>3</v>
      </c>
      <c r="D25" s="15">
        <v>0.1</v>
      </c>
      <c r="E25" s="15">
        <v>1</v>
      </c>
      <c r="F25" s="15">
        <v>0</v>
      </c>
      <c r="G25" s="15">
        <v>1</v>
      </c>
      <c r="H25" s="16">
        <f t="shared" si="0"/>
        <v>1</v>
      </c>
      <c r="I25" s="8"/>
      <c r="J25" s="8"/>
      <c r="K25" s="8"/>
      <c r="L25" s="10"/>
      <c r="M25" s="2">
        <f>232/697</f>
        <v>0.33285509325681489</v>
      </c>
      <c r="N25" s="2">
        <f>300/697</f>
        <v>0.43041606886657102</v>
      </c>
    </row>
    <row r="26" spans="1:14">
      <c r="A26" s="11"/>
      <c r="B26" s="19">
        <v>2</v>
      </c>
      <c r="C26" s="19">
        <v>3</v>
      </c>
      <c r="D26" s="19">
        <v>0.1</v>
      </c>
      <c r="E26" s="19">
        <v>12</v>
      </c>
      <c r="F26" s="19">
        <v>6</v>
      </c>
      <c r="G26" s="19">
        <v>18</v>
      </c>
      <c r="H26" s="20">
        <f t="shared" si="0"/>
        <v>5.5555555555555552E-2</v>
      </c>
      <c r="I26" s="12"/>
      <c r="J26" s="12"/>
      <c r="K26" s="12">
        <f>SUM(G2:G26)</f>
        <v>89</v>
      </c>
      <c r="L26" s="14">
        <f>SUM(E2:E26)</f>
        <v>70</v>
      </c>
      <c r="M26" s="22" t="s">
        <v>51</v>
      </c>
      <c r="N26" s="22" t="s">
        <v>52</v>
      </c>
    </row>
    <row r="27" spans="1:14">
      <c r="A27" s="3" t="s">
        <v>15</v>
      </c>
      <c r="B27" s="17">
        <v>3</v>
      </c>
      <c r="C27" s="17">
        <v>6</v>
      </c>
      <c r="D27" s="17">
        <v>0.2</v>
      </c>
      <c r="E27" s="17">
        <v>1</v>
      </c>
      <c r="F27" s="17">
        <v>0</v>
      </c>
      <c r="G27" s="17">
        <v>1</v>
      </c>
      <c r="H27" s="18">
        <f t="shared" si="0"/>
        <v>1</v>
      </c>
      <c r="I27" s="5">
        <f>8/13</f>
        <v>0.61538461538461542</v>
      </c>
      <c r="J27" s="5">
        <f>11/13</f>
        <v>0.84615384615384615</v>
      </c>
      <c r="K27" s="17">
        <v>13</v>
      </c>
      <c r="L27" s="21">
        <v>10</v>
      </c>
      <c r="M27" s="2">
        <f>36/186</f>
        <v>0.19354838709677419</v>
      </c>
      <c r="N27" s="2">
        <f>50/186</f>
        <v>0.26881720430107525</v>
      </c>
    </row>
    <row r="28" spans="1:14">
      <c r="A28" s="7" t="s">
        <v>12</v>
      </c>
      <c r="B28" s="15">
        <v>3</v>
      </c>
      <c r="C28" s="15">
        <v>6</v>
      </c>
      <c r="D28" s="15">
        <v>0.1</v>
      </c>
      <c r="E28" s="15">
        <v>3</v>
      </c>
      <c r="F28" s="15">
        <v>1</v>
      </c>
      <c r="G28" s="15">
        <v>4</v>
      </c>
      <c r="H28" s="16">
        <f t="shared" si="0"/>
        <v>0.25</v>
      </c>
      <c r="I28" s="8"/>
      <c r="J28" s="8"/>
      <c r="K28" s="8"/>
      <c r="L28" s="10"/>
      <c r="M28" t="s">
        <v>54</v>
      </c>
      <c r="N28" t="s">
        <v>55</v>
      </c>
    </row>
    <row r="29" spans="1:14">
      <c r="A29" s="7"/>
      <c r="B29" s="15">
        <v>3</v>
      </c>
      <c r="C29" s="15">
        <v>6</v>
      </c>
      <c r="D29" s="15">
        <v>0.1</v>
      </c>
      <c r="E29" s="15">
        <v>2</v>
      </c>
      <c r="F29" s="15">
        <v>0</v>
      </c>
      <c r="G29" s="15">
        <v>2</v>
      </c>
      <c r="H29" s="16">
        <f t="shared" si="0"/>
        <v>0.5</v>
      </c>
      <c r="I29" s="8"/>
      <c r="J29" s="8"/>
      <c r="K29" s="8"/>
      <c r="L29" s="10"/>
      <c r="M29" s="2">
        <f>23/216</f>
        <v>0.10648148148148148</v>
      </c>
      <c r="N29" s="2">
        <f>31/216</f>
        <v>0.14351851851851852</v>
      </c>
    </row>
    <row r="30" spans="1:14">
      <c r="A30" s="7"/>
      <c r="B30" s="15">
        <v>3</v>
      </c>
      <c r="C30" s="15">
        <v>6</v>
      </c>
      <c r="D30" s="15">
        <v>0.2</v>
      </c>
      <c r="E30" s="15">
        <v>1</v>
      </c>
      <c r="F30" s="15">
        <v>1</v>
      </c>
      <c r="G30" s="15">
        <v>2</v>
      </c>
      <c r="H30" s="16">
        <f t="shared" si="0"/>
        <v>0.5</v>
      </c>
      <c r="I30" s="8"/>
      <c r="J30" s="8"/>
      <c r="K30" s="8"/>
      <c r="L30" s="10"/>
      <c r="M30" s="22" t="s">
        <v>57</v>
      </c>
      <c r="N30" s="22" t="s">
        <v>58</v>
      </c>
    </row>
    <row r="31" spans="1:14">
      <c r="A31" s="7"/>
      <c r="B31" s="15">
        <v>3</v>
      </c>
      <c r="C31" s="15">
        <v>6</v>
      </c>
      <c r="D31" s="15">
        <v>0.1</v>
      </c>
      <c r="E31" s="15">
        <v>1</v>
      </c>
      <c r="F31" s="15">
        <v>0</v>
      </c>
      <c r="G31" s="15">
        <v>1</v>
      </c>
      <c r="H31" s="16">
        <f t="shared" si="0"/>
        <v>1</v>
      </c>
      <c r="I31" s="8"/>
      <c r="J31" s="8"/>
      <c r="K31" s="8"/>
      <c r="L31" s="10"/>
      <c r="M31" s="2">
        <f>72/453</f>
        <v>0.15894039735099338</v>
      </c>
      <c r="N31" s="2">
        <f>100/453</f>
        <v>0.22075055187637968</v>
      </c>
    </row>
    <row r="32" spans="1:14">
      <c r="A32" s="7"/>
      <c r="B32" s="15">
        <v>3</v>
      </c>
      <c r="C32" s="15">
        <v>6</v>
      </c>
      <c r="D32" s="15">
        <v>0.1</v>
      </c>
      <c r="E32" s="15">
        <v>0</v>
      </c>
      <c r="F32" s="15">
        <v>1</v>
      </c>
      <c r="G32" s="15">
        <v>1</v>
      </c>
      <c r="H32" s="16">
        <f t="shared" si="0"/>
        <v>1</v>
      </c>
      <c r="I32" s="8"/>
      <c r="J32" s="8"/>
      <c r="K32" s="8"/>
      <c r="L32" s="10"/>
      <c r="M32" s="22" t="s">
        <v>59</v>
      </c>
      <c r="N32" s="22" t="s">
        <v>60</v>
      </c>
    </row>
    <row r="33" spans="1:14">
      <c r="A33" s="7"/>
      <c r="B33" s="15">
        <v>3</v>
      </c>
      <c r="C33" s="15">
        <v>6</v>
      </c>
      <c r="D33" s="15">
        <v>0.1</v>
      </c>
      <c r="E33" s="15">
        <v>1</v>
      </c>
      <c r="F33" s="15">
        <v>0</v>
      </c>
      <c r="G33" s="15">
        <v>1</v>
      </c>
      <c r="H33" s="16">
        <f t="shared" si="0"/>
        <v>1</v>
      </c>
      <c r="I33" s="8"/>
      <c r="J33" s="8"/>
      <c r="K33" s="8"/>
      <c r="L33" s="10"/>
      <c r="M33" s="2">
        <f>304/1150</f>
        <v>0.26434782608695651</v>
      </c>
      <c r="N33" s="2">
        <f>400/1150</f>
        <v>0.34782608695652173</v>
      </c>
    </row>
    <row r="34" spans="1:14">
      <c r="A34" s="11"/>
      <c r="B34" s="19">
        <v>3</v>
      </c>
      <c r="C34" s="19">
        <v>6</v>
      </c>
      <c r="D34" s="19">
        <v>0.2</v>
      </c>
      <c r="E34" s="19">
        <v>1</v>
      </c>
      <c r="F34" s="19">
        <v>0</v>
      </c>
      <c r="G34" s="19">
        <v>1</v>
      </c>
      <c r="H34" s="20">
        <f t="shared" si="0"/>
        <v>1</v>
      </c>
      <c r="I34" s="12"/>
      <c r="J34" s="12"/>
      <c r="K34" s="12">
        <f>SUM(G27:G34)</f>
        <v>13</v>
      </c>
      <c r="L34" s="14">
        <f>SUM(E27:E34)</f>
        <v>10</v>
      </c>
      <c r="M34" s="22" t="s">
        <v>61</v>
      </c>
      <c r="N34" s="22" t="s">
        <v>62</v>
      </c>
    </row>
    <row r="35" spans="1:14">
      <c r="A35" s="3" t="s">
        <v>15</v>
      </c>
      <c r="B35" s="17">
        <v>4</v>
      </c>
      <c r="C35" s="17">
        <v>6</v>
      </c>
      <c r="D35" s="17">
        <v>0.1</v>
      </c>
      <c r="E35" s="17">
        <v>2</v>
      </c>
      <c r="F35" s="17">
        <v>0</v>
      </c>
      <c r="G35" s="17">
        <v>2</v>
      </c>
      <c r="H35" s="18">
        <f t="shared" si="0"/>
        <v>0.5</v>
      </c>
      <c r="I35" s="5">
        <f>7/17</f>
        <v>0.41176470588235292</v>
      </c>
      <c r="J35" s="5">
        <f>9/17</f>
        <v>0.52941176470588236</v>
      </c>
      <c r="K35" s="4">
        <v>30</v>
      </c>
      <c r="L35" s="6">
        <v>22</v>
      </c>
      <c r="M35" s="2">
        <f>38/191</f>
        <v>0.19895287958115182</v>
      </c>
      <c r="N35" s="2">
        <f>50/191</f>
        <v>0.26178010471204188</v>
      </c>
    </row>
    <row r="36" spans="1:14">
      <c r="A36" s="7" t="s">
        <v>13</v>
      </c>
      <c r="B36" s="15">
        <v>4</v>
      </c>
      <c r="C36" s="15">
        <v>6</v>
      </c>
      <c r="D36" s="15">
        <v>0.2</v>
      </c>
      <c r="E36" s="15">
        <v>5</v>
      </c>
      <c r="F36" s="15">
        <v>2</v>
      </c>
      <c r="G36" s="15">
        <v>7</v>
      </c>
      <c r="H36" s="16">
        <f t="shared" si="0"/>
        <v>0.14285714285714285</v>
      </c>
      <c r="I36" s="8"/>
      <c r="J36" s="8"/>
      <c r="K36" s="8"/>
      <c r="L36" s="10"/>
      <c r="M36" s="22" t="s">
        <v>64</v>
      </c>
      <c r="N36" s="22" t="s">
        <v>65</v>
      </c>
    </row>
    <row r="37" spans="1:14">
      <c r="A37" s="7"/>
      <c r="B37" s="15">
        <v>4</v>
      </c>
      <c r="C37" s="15">
        <v>6</v>
      </c>
      <c r="D37" s="15">
        <v>0.1</v>
      </c>
      <c r="E37" s="15">
        <v>1</v>
      </c>
      <c r="F37" s="15">
        <v>0</v>
      </c>
      <c r="G37" s="15">
        <v>1</v>
      </c>
      <c r="H37" s="16">
        <f t="shared" si="0"/>
        <v>1</v>
      </c>
      <c r="I37" s="8"/>
      <c r="J37" s="8"/>
      <c r="K37" s="8"/>
      <c r="L37" s="10"/>
      <c r="M37" s="2">
        <f>18/222</f>
        <v>8.1081081081081086E-2</v>
      </c>
      <c r="N37" s="2">
        <f>19/222</f>
        <v>8.5585585585585586E-2</v>
      </c>
    </row>
    <row r="38" spans="1:14">
      <c r="A38" s="7"/>
      <c r="B38" s="15">
        <v>4</v>
      </c>
      <c r="C38" s="15">
        <v>6</v>
      </c>
      <c r="D38" s="15">
        <v>0.1</v>
      </c>
      <c r="E38" s="15">
        <v>3</v>
      </c>
      <c r="F38" s="15">
        <v>0</v>
      </c>
      <c r="G38" s="15">
        <v>3</v>
      </c>
      <c r="H38" s="16">
        <f t="shared" si="0"/>
        <v>0.33333333333333331</v>
      </c>
      <c r="I38" s="8"/>
      <c r="J38" s="8"/>
      <c r="K38" s="8"/>
      <c r="L38" s="10"/>
      <c r="M38" s="22" t="s">
        <v>66</v>
      </c>
      <c r="N38" s="22" t="s">
        <v>67</v>
      </c>
    </row>
    <row r="39" spans="1:14">
      <c r="A39" s="7"/>
      <c r="B39" s="15">
        <v>4</v>
      </c>
      <c r="C39" s="15">
        <v>6</v>
      </c>
      <c r="D39" s="15">
        <v>0.2</v>
      </c>
      <c r="E39" s="15">
        <v>1</v>
      </c>
      <c r="F39" s="15">
        <v>0</v>
      </c>
      <c r="G39" s="15">
        <v>1</v>
      </c>
      <c r="H39" s="16">
        <f t="shared" si="0"/>
        <v>1</v>
      </c>
      <c r="I39" s="8"/>
      <c r="J39" s="8"/>
      <c r="K39" s="8"/>
      <c r="L39" s="10"/>
      <c r="M39" s="23">
        <f>43/214</f>
        <v>0.20093457943925233</v>
      </c>
      <c r="N39" s="23">
        <f>60/214</f>
        <v>0.28037383177570091</v>
      </c>
    </row>
    <row r="40" spans="1:14">
      <c r="A40" s="7"/>
      <c r="B40" s="15">
        <v>4</v>
      </c>
      <c r="C40" s="15">
        <v>6</v>
      </c>
      <c r="D40" s="15">
        <v>0.1</v>
      </c>
      <c r="E40" s="15">
        <v>0</v>
      </c>
      <c r="F40" s="15">
        <v>2</v>
      </c>
      <c r="G40" s="15">
        <v>2</v>
      </c>
      <c r="H40" s="16">
        <f t="shared" si="0"/>
        <v>0.5</v>
      </c>
      <c r="I40" s="8"/>
      <c r="J40" s="8"/>
      <c r="K40" s="8"/>
      <c r="L40" s="10"/>
      <c r="M40" s="22" t="s">
        <v>68</v>
      </c>
      <c r="N40" s="22" t="s">
        <v>69</v>
      </c>
    </row>
    <row r="41" spans="1:14">
      <c r="A41" s="11"/>
      <c r="B41" s="19">
        <v>4</v>
      </c>
      <c r="C41" s="19">
        <v>6</v>
      </c>
      <c r="D41" s="19">
        <v>0.1</v>
      </c>
      <c r="E41" s="19">
        <v>0</v>
      </c>
      <c r="F41" s="19">
        <v>1</v>
      </c>
      <c r="G41" s="19">
        <v>1</v>
      </c>
      <c r="H41" s="20">
        <f t="shared" si="0"/>
        <v>1</v>
      </c>
      <c r="I41" s="12"/>
      <c r="J41" s="12"/>
      <c r="K41" s="12">
        <f>SUM(G27:G41)</f>
        <v>30</v>
      </c>
      <c r="L41" s="14">
        <f>SUM(E27:E41)</f>
        <v>22</v>
      </c>
      <c r="M41" s="23">
        <f>79/563</f>
        <v>0.14031971580817051</v>
      </c>
      <c r="N41" s="23">
        <f>100/563</f>
        <v>0.17761989342806395</v>
      </c>
    </row>
    <row r="42" spans="1:14">
      <c r="A42" s="3" t="s">
        <v>15</v>
      </c>
      <c r="B42" s="17">
        <v>5</v>
      </c>
      <c r="C42" s="17">
        <v>6</v>
      </c>
      <c r="D42" s="17">
        <v>0.1</v>
      </c>
      <c r="E42" s="17">
        <v>1</v>
      </c>
      <c r="F42" s="17">
        <v>1</v>
      </c>
      <c r="G42" s="17">
        <v>2</v>
      </c>
      <c r="H42" s="18">
        <f t="shared" si="0"/>
        <v>0.5</v>
      </c>
      <c r="I42" s="5">
        <f>10/33</f>
        <v>0.30303030303030304</v>
      </c>
      <c r="J42" s="5">
        <f>10/33</f>
        <v>0.30303030303030304</v>
      </c>
      <c r="K42" s="4">
        <v>63</v>
      </c>
      <c r="L42" s="6">
        <v>46</v>
      </c>
      <c r="M42" s="22" t="s">
        <v>70</v>
      </c>
      <c r="N42" s="22" t="s">
        <v>71</v>
      </c>
    </row>
    <row r="43" spans="1:14">
      <c r="A43" s="7" t="s">
        <v>14</v>
      </c>
      <c r="B43" s="15">
        <v>5</v>
      </c>
      <c r="C43" s="15">
        <v>6</v>
      </c>
      <c r="D43" s="15">
        <v>0.1</v>
      </c>
      <c r="E43" s="15">
        <v>2</v>
      </c>
      <c r="F43" s="15">
        <v>2</v>
      </c>
      <c r="G43" s="15">
        <v>4</v>
      </c>
      <c r="H43" s="16">
        <f t="shared" si="0"/>
        <v>0.25</v>
      </c>
      <c r="I43" s="8"/>
      <c r="J43" s="8"/>
      <c r="K43" s="8"/>
      <c r="L43" s="10"/>
      <c r="M43" s="2">
        <f>383/1713</f>
        <v>0.22358435493286632</v>
      </c>
      <c r="N43" s="2">
        <f>500/1713</f>
        <v>0.29188558085230587</v>
      </c>
    </row>
    <row r="44" spans="1:14">
      <c r="A44" s="7"/>
      <c r="B44" s="15">
        <v>5</v>
      </c>
      <c r="C44" s="15">
        <v>6</v>
      </c>
      <c r="D44" s="15">
        <v>0.1</v>
      </c>
      <c r="E44" s="15">
        <v>2</v>
      </c>
      <c r="F44" s="15">
        <v>1</v>
      </c>
      <c r="G44" s="15">
        <v>3</v>
      </c>
      <c r="H44" s="16">
        <f t="shared" si="0"/>
        <v>0.33333333333333331</v>
      </c>
      <c r="I44" s="8"/>
      <c r="J44" s="8"/>
      <c r="K44" s="8"/>
      <c r="L44" s="10"/>
    </row>
    <row r="45" spans="1:14">
      <c r="A45" s="7"/>
      <c r="B45" s="15">
        <v>5</v>
      </c>
      <c r="C45" s="15">
        <v>6</v>
      </c>
      <c r="D45" s="15">
        <v>0.1</v>
      </c>
      <c r="E45" s="15">
        <v>1</v>
      </c>
      <c r="F45" s="15">
        <v>1</v>
      </c>
      <c r="G45" s="15">
        <v>2</v>
      </c>
      <c r="H45" s="16">
        <f t="shared" si="0"/>
        <v>0.5</v>
      </c>
      <c r="I45" s="8"/>
      <c r="J45" s="8"/>
      <c r="K45" s="8"/>
      <c r="L45" s="10"/>
    </row>
    <row r="46" spans="1:14">
      <c r="A46" s="7"/>
      <c r="B46" s="15">
        <v>5</v>
      </c>
      <c r="C46" s="15">
        <v>6</v>
      </c>
      <c r="D46" s="15">
        <v>0.1</v>
      </c>
      <c r="E46" s="15">
        <v>8</v>
      </c>
      <c r="F46" s="15">
        <v>2</v>
      </c>
      <c r="G46" s="15">
        <v>10</v>
      </c>
      <c r="H46" s="16">
        <f t="shared" si="0"/>
        <v>0.1</v>
      </c>
      <c r="I46" s="8"/>
      <c r="J46" s="8"/>
      <c r="K46" s="8"/>
      <c r="L46" s="10"/>
    </row>
    <row r="47" spans="1:14">
      <c r="A47" s="7"/>
      <c r="B47" s="15">
        <v>5</v>
      </c>
      <c r="C47" s="15">
        <v>6</v>
      </c>
      <c r="D47" s="15">
        <v>0.1</v>
      </c>
      <c r="E47" s="15">
        <v>1</v>
      </c>
      <c r="F47" s="15">
        <v>0</v>
      </c>
      <c r="G47" s="15">
        <v>1</v>
      </c>
      <c r="H47" s="16">
        <f t="shared" si="0"/>
        <v>1</v>
      </c>
      <c r="I47" s="8"/>
      <c r="J47" s="8"/>
      <c r="K47" s="8"/>
      <c r="L47" s="10"/>
    </row>
    <row r="48" spans="1:14">
      <c r="A48" s="7"/>
      <c r="B48" s="15">
        <v>5</v>
      </c>
      <c r="C48" s="15">
        <v>6</v>
      </c>
      <c r="D48" s="15">
        <v>0.1</v>
      </c>
      <c r="E48" s="15">
        <v>2</v>
      </c>
      <c r="F48" s="15">
        <v>0</v>
      </c>
      <c r="G48" s="15">
        <v>2</v>
      </c>
      <c r="H48" s="16">
        <f t="shared" si="0"/>
        <v>0.5</v>
      </c>
      <c r="I48" s="8"/>
      <c r="J48" s="8"/>
      <c r="K48" s="8"/>
      <c r="L48" s="10"/>
    </row>
    <row r="49" spans="1:12">
      <c r="A49" s="7"/>
      <c r="B49" s="15">
        <v>5</v>
      </c>
      <c r="C49" s="15">
        <v>6</v>
      </c>
      <c r="D49" s="15">
        <v>0.1</v>
      </c>
      <c r="E49" s="15">
        <v>1</v>
      </c>
      <c r="F49" s="15">
        <v>0</v>
      </c>
      <c r="G49" s="15">
        <v>1</v>
      </c>
      <c r="H49" s="16">
        <f t="shared" si="0"/>
        <v>1</v>
      </c>
      <c r="I49" s="8"/>
      <c r="J49" s="8"/>
      <c r="K49" s="8"/>
      <c r="L49" s="10"/>
    </row>
    <row r="50" spans="1:12">
      <c r="A50" s="7"/>
      <c r="B50" s="15">
        <v>5</v>
      </c>
      <c r="C50" s="15">
        <v>6</v>
      </c>
      <c r="D50" s="15">
        <v>0.1</v>
      </c>
      <c r="E50" s="15">
        <v>5</v>
      </c>
      <c r="F50" s="15">
        <v>1</v>
      </c>
      <c r="G50" s="15">
        <v>6</v>
      </c>
      <c r="H50" s="16">
        <f t="shared" si="0"/>
        <v>0.16666666666666666</v>
      </c>
      <c r="I50" s="8"/>
      <c r="J50" s="8"/>
      <c r="K50" s="8"/>
      <c r="L50" s="10"/>
    </row>
    <row r="51" spans="1:12">
      <c r="A51" s="11"/>
      <c r="B51" s="19">
        <v>5</v>
      </c>
      <c r="C51" s="19">
        <v>6</v>
      </c>
      <c r="D51" s="19">
        <v>0.1</v>
      </c>
      <c r="E51" s="19">
        <v>1</v>
      </c>
      <c r="F51" s="19">
        <v>1</v>
      </c>
      <c r="G51" s="19">
        <v>2</v>
      </c>
      <c r="H51" s="20">
        <f t="shared" si="0"/>
        <v>0.5</v>
      </c>
      <c r="I51" s="12"/>
      <c r="J51" s="12"/>
      <c r="K51" s="12">
        <f>SUM(G27:G51)</f>
        <v>63</v>
      </c>
      <c r="L51" s="14">
        <f>SUM(E27:E51)</f>
        <v>46</v>
      </c>
    </row>
    <row r="52" spans="1:12">
      <c r="A52" s="3" t="s">
        <v>17</v>
      </c>
      <c r="B52" s="17">
        <v>6</v>
      </c>
      <c r="C52" s="17">
        <v>10</v>
      </c>
      <c r="D52" s="17">
        <v>0.2</v>
      </c>
      <c r="E52" s="17">
        <v>0</v>
      </c>
      <c r="F52" s="17">
        <v>1</v>
      </c>
      <c r="G52" s="17">
        <v>1</v>
      </c>
      <c r="H52" s="18">
        <f t="shared" si="0"/>
        <v>1</v>
      </c>
      <c r="I52" s="5">
        <f>6/10</f>
        <v>0.6</v>
      </c>
      <c r="J52" s="5">
        <f>10/10</f>
        <v>1</v>
      </c>
      <c r="K52" s="4">
        <v>10</v>
      </c>
      <c r="L52" s="6">
        <v>5</v>
      </c>
    </row>
    <row r="53" spans="1:12">
      <c r="A53" s="7" t="s">
        <v>18</v>
      </c>
      <c r="B53" s="15">
        <v>6</v>
      </c>
      <c r="C53" s="15">
        <v>10</v>
      </c>
      <c r="D53" s="15">
        <v>0.2</v>
      </c>
      <c r="E53" s="15">
        <v>1</v>
      </c>
      <c r="F53" s="15">
        <v>3</v>
      </c>
      <c r="G53" s="15">
        <v>4</v>
      </c>
      <c r="H53" s="16">
        <f t="shared" si="0"/>
        <v>0.25</v>
      </c>
      <c r="I53" s="8"/>
      <c r="J53" s="8"/>
      <c r="K53" s="8"/>
      <c r="L53" s="10"/>
    </row>
    <row r="54" spans="1:12">
      <c r="A54" s="7"/>
      <c r="B54" s="15">
        <v>6</v>
      </c>
      <c r="C54" s="15">
        <v>10</v>
      </c>
      <c r="D54" s="15">
        <v>0.1</v>
      </c>
      <c r="E54" s="15">
        <v>1</v>
      </c>
      <c r="F54" s="15">
        <v>0</v>
      </c>
      <c r="G54" s="15">
        <v>1</v>
      </c>
      <c r="H54" s="16">
        <f t="shared" si="0"/>
        <v>1</v>
      </c>
      <c r="I54" s="8"/>
      <c r="J54" s="8"/>
      <c r="K54" s="8"/>
      <c r="L54" s="10"/>
    </row>
    <row r="55" spans="1:12">
      <c r="A55" s="7"/>
      <c r="B55" s="15">
        <v>6</v>
      </c>
      <c r="C55" s="15">
        <v>10</v>
      </c>
      <c r="D55" s="15">
        <v>0.1</v>
      </c>
      <c r="E55" s="15">
        <v>1</v>
      </c>
      <c r="F55" s="15">
        <v>1</v>
      </c>
      <c r="G55" s="15">
        <v>2</v>
      </c>
      <c r="H55" s="16">
        <f t="shared" si="0"/>
        <v>0.5</v>
      </c>
      <c r="I55" s="8"/>
      <c r="J55" s="8"/>
      <c r="K55" s="8"/>
      <c r="L55" s="10"/>
    </row>
    <row r="56" spans="1:12">
      <c r="A56" s="7"/>
      <c r="B56" s="15">
        <v>6</v>
      </c>
      <c r="C56" s="15">
        <v>10</v>
      </c>
      <c r="D56" s="15">
        <v>0.3</v>
      </c>
      <c r="E56" s="15">
        <v>1</v>
      </c>
      <c r="F56" s="15">
        <v>0</v>
      </c>
      <c r="G56" s="15">
        <v>1</v>
      </c>
      <c r="H56" s="16">
        <f t="shared" si="0"/>
        <v>1</v>
      </c>
      <c r="I56" s="8"/>
      <c r="J56" s="8"/>
      <c r="K56" s="8"/>
      <c r="L56" s="10"/>
    </row>
    <row r="57" spans="1:12">
      <c r="A57" s="11"/>
      <c r="B57" s="19">
        <v>6</v>
      </c>
      <c r="C57" s="19">
        <v>10</v>
      </c>
      <c r="D57" s="19">
        <v>0.1</v>
      </c>
      <c r="E57" s="19">
        <v>1</v>
      </c>
      <c r="F57" s="19">
        <v>0</v>
      </c>
      <c r="G57" s="19">
        <v>1</v>
      </c>
      <c r="H57" s="20">
        <f t="shared" si="0"/>
        <v>1</v>
      </c>
      <c r="I57" s="12"/>
      <c r="J57" s="12"/>
      <c r="K57" s="12">
        <f>SUM(G52:G57)</f>
        <v>10</v>
      </c>
      <c r="L57" s="14">
        <f>SUM(E52:E57)</f>
        <v>5</v>
      </c>
    </row>
    <row r="58" spans="1:12">
      <c r="A58" s="3" t="s">
        <v>17</v>
      </c>
      <c r="B58" s="17">
        <v>7</v>
      </c>
      <c r="C58" s="17">
        <v>10</v>
      </c>
      <c r="D58" s="17">
        <v>0.1</v>
      </c>
      <c r="E58" s="17">
        <v>1</v>
      </c>
      <c r="F58" s="17">
        <v>1</v>
      </c>
      <c r="G58" s="17">
        <v>2</v>
      </c>
      <c r="H58" s="18">
        <f t="shared" si="0"/>
        <v>0.5</v>
      </c>
      <c r="I58" s="5">
        <f>9/17</f>
        <v>0.52941176470588236</v>
      </c>
      <c r="J58" s="5">
        <f>11/17</f>
        <v>0.6470588235294118</v>
      </c>
      <c r="K58" s="4">
        <v>27</v>
      </c>
      <c r="L58" s="6">
        <v>14</v>
      </c>
    </row>
    <row r="59" spans="1:12">
      <c r="A59" s="7" t="s">
        <v>12</v>
      </c>
      <c r="B59" s="15">
        <v>7</v>
      </c>
      <c r="C59" s="15">
        <v>10</v>
      </c>
      <c r="D59" s="15">
        <v>0.1</v>
      </c>
      <c r="E59" s="15">
        <v>2</v>
      </c>
      <c r="F59" s="15">
        <v>3</v>
      </c>
      <c r="G59" s="15">
        <v>5</v>
      </c>
      <c r="H59" s="16">
        <f t="shared" si="0"/>
        <v>0.2</v>
      </c>
      <c r="I59" s="8"/>
      <c r="J59" s="8"/>
      <c r="K59" s="8"/>
      <c r="L59" s="10"/>
    </row>
    <row r="60" spans="1:12">
      <c r="A60" s="7"/>
      <c r="B60" s="15">
        <v>7</v>
      </c>
      <c r="C60" s="15">
        <v>10</v>
      </c>
      <c r="D60" s="15">
        <v>0.1</v>
      </c>
      <c r="E60" s="15">
        <v>1</v>
      </c>
      <c r="F60" s="15">
        <v>1</v>
      </c>
      <c r="G60" s="15">
        <v>2</v>
      </c>
      <c r="H60" s="16">
        <f t="shared" si="0"/>
        <v>0.5</v>
      </c>
      <c r="I60" s="8"/>
      <c r="J60" s="8"/>
      <c r="K60" s="8"/>
      <c r="L60" s="10"/>
    </row>
    <row r="61" spans="1:12">
      <c r="A61" s="7"/>
      <c r="B61" s="15">
        <v>7</v>
      </c>
      <c r="C61" s="15">
        <v>10</v>
      </c>
      <c r="D61" s="15">
        <v>0.1</v>
      </c>
      <c r="E61" s="15">
        <v>0</v>
      </c>
      <c r="F61" s="15">
        <v>2</v>
      </c>
      <c r="G61" s="15">
        <v>2</v>
      </c>
      <c r="H61" s="16">
        <f t="shared" si="0"/>
        <v>0.5</v>
      </c>
      <c r="I61" s="8"/>
      <c r="J61" s="8"/>
      <c r="K61" s="8"/>
      <c r="L61" s="10"/>
    </row>
    <row r="62" spans="1:12">
      <c r="A62" s="7"/>
      <c r="B62" s="15">
        <v>7</v>
      </c>
      <c r="C62" s="15">
        <v>10</v>
      </c>
      <c r="D62" s="15">
        <v>0.2</v>
      </c>
      <c r="E62" s="15">
        <v>1</v>
      </c>
      <c r="F62" s="15">
        <v>0</v>
      </c>
      <c r="G62" s="15">
        <v>1</v>
      </c>
      <c r="H62" s="16">
        <f t="shared" si="0"/>
        <v>1</v>
      </c>
      <c r="I62" s="8"/>
      <c r="J62" s="8"/>
      <c r="K62" s="8"/>
      <c r="L62" s="10"/>
    </row>
    <row r="63" spans="1:12">
      <c r="A63" s="7"/>
      <c r="B63" s="15">
        <v>7</v>
      </c>
      <c r="C63" s="15">
        <v>10</v>
      </c>
      <c r="D63" s="15">
        <v>0.1</v>
      </c>
      <c r="E63" s="15">
        <v>1</v>
      </c>
      <c r="F63" s="15">
        <v>0</v>
      </c>
      <c r="G63" s="15">
        <v>1</v>
      </c>
      <c r="H63" s="16">
        <f t="shared" si="0"/>
        <v>1</v>
      </c>
      <c r="I63" s="8"/>
      <c r="J63" s="8"/>
      <c r="K63" s="8"/>
      <c r="L63" s="10"/>
    </row>
    <row r="64" spans="1:12">
      <c r="A64" s="7"/>
      <c r="B64" s="15">
        <v>7</v>
      </c>
      <c r="C64" s="15">
        <v>10</v>
      </c>
      <c r="D64" s="15">
        <v>0.1</v>
      </c>
      <c r="E64" s="15">
        <v>1</v>
      </c>
      <c r="F64" s="15">
        <v>1</v>
      </c>
      <c r="G64" s="15">
        <v>2</v>
      </c>
      <c r="H64" s="16">
        <f t="shared" si="0"/>
        <v>0.5</v>
      </c>
      <c r="I64" s="8"/>
      <c r="J64" s="8"/>
      <c r="K64" s="8"/>
      <c r="L64" s="10"/>
    </row>
    <row r="65" spans="1:12">
      <c r="A65" s="7"/>
      <c r="B65" s="15">
        <v>7</v>
      </c>
      <c r="C65" s="15">
        <v>10</v>
      </c>
      <c r="D65" s="15">
        <v>0.1</v>
      </c>
      <c r="E65" s="15">
        <v>1</v>
      </c>
      <c r="F65" s="15">
        <v>0</v>
      </c>
      <c r="G65" s="15">
        <v>1</v>
      </c>
      <c r="H65" s="16">
        <f t="shared" si="0"/>
        <v>1</v>
      </c>
      <c r="I65" s="8"/>
      <c r="J65" s="8"/>
      <c r="K65" s="8"/>
      <c r="L65" s="10"/>
    </row>
    <row r="66" spans="1:12">
      <c r="A66" s="11"/>
      <c r="B66" s="19">
        <v>7</v>
      </c>
      <c r="C66" s="19">
        <v>10</v>
      </c>
      <c r="D66" s="19">
        <v>0.2</v>
      </c>
      <c r="E66" s="19">
        <v>1</v>
      </c>
      <c r="F66" s="19">
        <v>0</v>
      </c>
      <c r="G66" s="19">
        <v>1</v>
      </c>
      <c r="H66" s="20">
        <f t="shared" ref="H66:H129" si="1">1/G66</f>
        <v>1</v>
      </c>
      <c r="I66" s="12"/>
      <c r="J66" s="12"/>
      <c r="K66" s="12">
        <f>SUM(G52:G66)</f>
        <v>27</v>
      </c>
      <c r="L66" s="14">
        <f>SUM(E52:E66)</f>
        <v>14</v>
      </c>
    </row>
    <row r="67" spans="1:12">
      <c r="A67" s="3" t="s">
        <v>19</v>
      </c>
      <c r="B67" s="17">
        <v>8</v>
      </c>
      <c r="C67" s="17">
        <v>10</v>
      </c>
      <c r="D67" s="17">
        <v>0.1</v>
      </c>
      <c r="E67" s="17">
        <v>1</v>
      </c>
      <c r="F67" s="17">
        <v>0</v>
      </c>
      <c r="G67" s="17">
        <v>1</v>
      </c>
      <c r="H67" s="18">
        <f t="shared" si="1"/>
        <v>1</v>
      </c>
      <c r="I67" s="5">
        <f>7/14</f>
        <v>0.5</v>
      </c>
      <c r="J67" s="5">
        <f>9/14</f>
        <v>0.6428571428571429</v>
      </c>
      <c r="K67" s="4">
        <v>41</v>
      </c>
      <c r="L67" s="6">
        <v>23</v>
      </c>
    </row>
    <row r="68" spans="1:12">
      <c r="A68" s="7" t="s">
        <v>13</v>
      </c>
      <c r="B68" s="15">
        <v>8</v>
      </c>
      <c r="C68" s="15">
        <v>10</v>
      </c>
      <c r="D68" s="15">
        <v>0.2</v>
      </c>
      <c r="E68" s="15">
        <v>2</v>
      </c>
      <c r="F68" s="15">
        <v>1</v>
      </c>
      <c r="G68" s="15">
        <v>3</v>
      </c>
      <c r="H68" s="16">
        <f t="shared" si="1"/>
        <v>0.33333333333333331</v>
      </c>
      <c r="I68" s="8"/>
      <c r="J68" s="8"/>
      <c r="K68" s="8"/>
      <c r="L68" s="10"/>
    </row>
    <row r="69" spans="1:12">
      <c r="A69" s="7"/>
      <c r="B69" s="15">
        <v>8</v>
      </c>
      <c r="C69" s="15">
        <v>10</v>
      </c>
      <c r="D69" s="15">
        <v>0.2</v>
      </c>
      <c r="E69" s="15">
        <v>2</v>
      </c>
      <c r="F69" s="15">
        <v>0</v>
      </c>
      <c r="G69" s="15">
        <v>2</v>
      </c>
      <c r="H69" s="16">
        <f t="shared" si="1"/>
        <v>0.5</v>
      </c>
      <c r="I69" s="8"/>
      <c r="J69" s="8"/>
      <c r="K69" s="8"/>
      <c r="L69" s="10"/>
    </row>
    <row r="70" spans="1:12">
      <c r="A70" s="7"/>
      <c r="B70" s="15">
        <v>8</v>
      </c>
      <c r="C70" s="15">
        <v>10</v>
      </c>
      <c r="D70" s="15">
        <v>0.1</v>
      </c>
      <c r="E70" s="15">
        <v>1</v>
      </c>
      <c r="F70" s="15">
        <v>3</v>
      </c>
      <c r="G70" s="15">
        <v>4</v>
      </c>
      <c r="H70" s="16">
        <f t="shared" si="1"/>
        <v>0.25</v>
      </c>
      <c r="I70" s="8"/>
      <c r="J70" s="8"/>
      <c r="K70" s="8"/>
      <c r="L70" s="10"/>
    </row>
    <row r="71" spans="1:12">
      <c r="A71" s="7"/>
      <c r="B71" s="15">
        <v>8</v>
      </c>
      <c r="C71" s="15">
        <v>10</v>
      </c>
      <c r="D71" s="15">
        <v>0.1</v>
      </c>
      <c r="E71" s="15">
        <v>1</v>
      </c>
      <c r="F71" s="15">
        <v>0</v>
      </c>
      <c r="G71" s="15">
        <v>1</v>
      </c>
      <c r="H71" s="16">
        <f t="shared" si="1"/>
        <v>1</v>
      </c>
      <c r="I71" s="8"/>
      <c r="J71" s="8"/>
      <c r="K71" s="8"/>
      <c r="L71" s="10"/>
    </row>
    <row r="72" spans="1:12">
      <c r="A72" s="7"/>
      <c r="B72" s="15">
        <v>8</v>
      </c>
      <c r="C72" s="15">
        <v>10</v>
      </c>
      <c r="D72" s="15">
        <v>0.1</v>
      </c>
      <c r="E72" s="15">
        <v>2</v>
      </c>
      <c r="F72" s="15">
        <v>0</v>
      </c>
      <c r="G72" s="15">
        <v>2</v>
      </c>
      <c r="H72" s="16">
        <f t="shared" si="1"/>
        <v>0.5</v>
      </c>
      <c r="I72" s="8"/>
      <c r="J72" s="8"/>
      <c r="K72" s="8"/>
      <c r="L72" s="10"/>
    </row>
    <row r="73" spans="1:12">
      <c r="A73" s="11"/>
      <c r="B73" s="19">
        <v>8</v>
      </c>
      <c r="C73" s="19">
        <v>10</v>
      </c>
      <c r="D73" s="19">
        <v>0.1</v>
      </c>
      <c r="E73" s="19">
        <v>0</v>
      </c>
      <c r="F73" s="19">
        <v>1</v>
      </c>
      <c r="G73" s="19">
        <v>1</v>
      </c>
      <c r="H73" s="20">
        <f t="shared" si="1"/>
        <v>1</v>
      </c>
      <c r="I73" s="12"/>
      <c r="J73" s="12"/>
      <c r="K73" s="12">
        <f>SUM(G52:G73)</f>
        <v>41</v>
      </c>
      <c r="L73" s="14">
        <f>SUM(E52:E73)</f>
        <v>23</v>
      </c>
    </row>
    <row r="74" spans="1:12">
      <c r="A74" s="3" t="s">
        <v>19</v>
      </c>
      <c r="B74" s="17">
        <v>9</v>
      </c>
      <c r="C74" s="17">
        <v>10</v>
      </c>
      <c r="D74" s="17">
        <v>0.2</v>
      </c>
      <c r="E74" s="17">
        <v>4</v>
      </c>
      <c r="F74" s="17">
        <v>2</v>
      </c>
      <c r="G74" s="17">
        <v>6</v>
      </c>
      <c r="H74" s="18">
        <f t="shared" si="1"/>
        <v>0.16666666666666666</v>
      </c>
      <c r="I74" s="5">
        <f>8/29</f>
        <v>0.27586206896551724</v>
      </c>
      <c r="J74" s="5">
        <f>11/29</f>
        <v>0.37931034482758619</v>
      </c>
      <c r="K74" s="4">
        <v>70</v>
      </c>
      <c r="L74" s="6">
        <v>47</v>
      </c>
    </row>
    <row r="75" spans="1:12">
      <c r="A75" s="7" t="s">
        <v>14</v>
      </c>
      <c r="B75" s="15">
        <v>9</v>
      </c>
      <c r="C75" s="15">
        <v>10</v>
      </c>
      <c r="D75" s="15">
        <v>0.1</v>
      </c>
      <c r="E75" s="15">
        <v>3</v>
      </c>
      <c r="F75" s="15">
        <v>0</v>
      </c>
      <c r="G75" s="15">
        <v>3</v>
      </c>
      <c r="H75" s="16">
        <f t="shared" si="1"/>
        <v>0.33333333333333331</v>
      </c>
      <c r="I75" s="8"/>
      <c r="J75" s="8"/>
      <c r="K75" s="8"/>
      <c r="L75" s="10"/>
    </row>
    <row r="76" spans="1:12">
      <c r="A76" s="7"/>
      <c r="B76" s="15">
        <v>9</v>
      </c>
      <c r="C76" s="15">
        <v>10</v>
      </c>
      <c r="D76" s="15">
        <v>0.2</v>
      </c>
      <c r="E76" s="15">
        <v>2</v>
      </c>
      <c r="F76" s="15">
        <v>1</v>
      </c>
      <c r="G76" s="15">
        <v>3</v>
      </c>
      <c r="H76" s="16">
        <f t="shared" si="1"/>
        <v>0.33333333333333331</v>
      </c>
      <c r="I76" s="8"/>
      <c r="J76" s="8"/>
      <c r="K76" s="8"/>
      <c r="L76" s="10"/>
    </row>
    <row r="77" spans="1:12">
      <c r="A77" s="7"/>
      <c r="B77" s="15">
        <v>9</v>
      </c>
      <c r="C77" s="15">
        <v>10</v>
      </c>
      <c r="D77" s="15">
        <v>0.1</v>
      </c>
      <c r="E77" s="15">
        <v>1</v>
      </c>
      <c r="F77" s="15">
        <v>0</v>
      </c>
      <c r="G77" s="15">
        <v>1</v>
      </c>
      <c r="H77" s="16">
        <f t="shared" si="1"/>
        <v>1</v>
      </c>
      <c r="I77" s="8"/>
      <c r="J77" s="8"/>
      <c r="K77" s="8"/>
      <c r="L77" s="10"/>
    </row>
    <row r="78" spans="1:12">
      <c r="A78" s="7"/>
      <c r="B78" s="15">
        <v>9</v>
      </c>
      <c r="C78" s="15">
        <v>10</v>
      </c>
      <c r="D78" s="15">
        <v>0.1</v>
      </c>
      <c r="E78" s="15">
        <v>1</v>
      </c>
      <c r="F78" s="15">
        <v>0</v>
      </c>
      <c r="G78" s="15">
        <v>1</v>
      </c>
      <c r="H78" s="16">
        <f t="shared" si="1"/>
        <v>1</v>
      </c>
      <c r="I78" s="8"/>
      <c r="J78" s="8"/>
      <c r="K78" s="8"/>
      <c r="L78" s="10"/>
    </row>
    <row r="79" spans="1:12">
      <c r="A79" s="7"/>
      <c r="B79" s="15">
        <v>9</v>
      </c>
      <c r="C79" s="15">
        <v>10</v>
      </c>
      <c r="D79" s="15">
        <v>0.1</v>
      </c>
      <c r="E79" s="15">
        <v>9</v>
      </c>
      <c r="F79" s="15">
        <v>2</v>
      </c>
      <c r="G79" s="15">
        <v>11</v>
      </c>
      <c r="H79" s="16">
        <f t="shared" si="1"/>
        <v>9.0909090909090912E-2</v>
      </c>
      <c r="I79" s="8"/>
      <c r="J79" s="8"/>
      <c r="K79" s="8"/>
      <c r="L79" s="10"/>
    </row>
    <row r="80" spans="1:12">
      <c r="A80" s="7"/>
      <c r="B80" s="15">
        <v>9</v>
      </c>
      <c r="C80" s="15">
        <v>10</v>
      </c>
      <c r="D80" s="15">
        <v>0.1</v>
      </c>
      <c r="E80" s="15">
        <v>3</v>
      </c>
      <c r="F80" s="15">
        <v>0</v>
      </c>
      <c r="G80" s="15">
        <v>3</v>
      </c>
      <c r="H80" s="16">
        <f t="shared" si="1"/>
        <v>0.33333333333333331</v>
      </c>
      <c r="I80" s="8"/>
      <c r="J80" s="8"/>
      <c r="K80" s="8"/>
      <c r="L80" s="10"/>
    </row>
    <row r="81" spans="1:12">
      <c r="A81" s="11"/>
      <c r="B81" s="19">
        <v>9</v>
      </c>
      <c r="C81" s="19">
        <v>10</v>
      </c>
      <c r="D81" s="19">
        <v>0.2</v>
      </c>
      <c r="E81" s="19">
        <v>1</v>
      </c>
      <c r="F81" s="19">
        <v>0</v>
      </c>
      <c r="G81" s="19">
        <v>1</v>
      </c>
      <c r="H81" s="20">
        <f t="shared" si="1"/>
        <v>1</v>
      </c>
      <c r="I81" s="12"/>
      <c r="J81" s="12"/>
      <c r="K81" s="12">
        <f>SUM(G52:G81)</f>
        <v>70</v>
      </c>
      <c r="L81" s="14">
        <f>SUM(E52:E81)</f>
        <v>47</v>
      </c>
    </row>
    <row r="82" spans="1:12">
      <c r="A82" s="3" t="s">
        <v>28</v>
      </c>
      <c r="B82" s="17">
        <v>10</v>
      </c>
      <c r="C82" s="17">
        <v>14</v>
      </c>
      <c r="D82" s="17">
        <v>0.2</v>
      </c>
      <c r="E82" s="17">
        <v>0</v>
      </c>
      <c r="F82" s="17">
        <v>1</v>
      </c>
      <c r="G82" s="17">
        <v>1</v>
      </c>
      <c r="H82" s="18">
        <f t="shared" si="1"/>
        <v>1</v>
      </c>
      <c r="I82" s="5">
        <f>7/10</f>
        <v>0.7</v>
      </c>
      <c r="J82" s="5">
        <f>9/10</f>
        <v>0.9</v>
      </c>
      <c r="K82" s="4">
        <v>10</v>
      </c>
      <c r="L82" s="6">
        <v>6</v>
      </c>
    </row>
    <row r="83" spans="1:12">
      <c r="A83" s="7" t="s">
        <v>18</v>
      </c>
      <c r="B83" s="15">
        <v>10</v>
      </c>
      <c r="C83" s="15">
        <v>14</v>
      </c>
      <c r="D83" s="15">
        <v>0.1</v>
      </c>
      <c r="E83" s="15">
        <v>2</v>
      </c>
      <c r="F83" s="15">
        <v>1</v>
      </c>
      <c r="G83" s="15">
        <v>3</v>
      </c>
      <c r="H83" s="16">
        <f t="shared" si="1"/>
        <v>0.33333333333333331</v>
      </c>
      <c r="I83" s="8"/>
      <c r="J83" s="8"/>
      <c r="K83" s="8"/>
      <c r="L83" s="10"/>
    </row>
    <row r="84" spans="1:12">
      <c r="A84" s="7"/>
      <c r="B84" s="15">
        <v>10</v>
      </c>
      <c r="C84" s="15">
        <v>14</v>
      </c>
      <c r="D84" s="15">
        <v>0.2</v>
      </c>
      <c r="E84" s="15">
        <v>1</v>
      </c>
      <c r="F84" s="15">
        <v>0</v>
      </c>
      <c r="G84" s="15">
        <v>1</v>
      </c>
      <c r="H84" s="16">
        <f t="shared" si="1"/>
        <v>1</v>
      </c>
      <c r="I84" s="8"/>
      <c r="J84" s="8"/>
      <c r="K84" s="8"/>
      <c r="L84" s="10"/>
    </row>
    <row r="85" spans="1:12">
      <c r="A85" s="7"/>
      <c r="B85" s="15">
        <v>10</v>
      </c>
      <c r="C85" s="15">
        <v>14</v>
      </c>
      <c r="D85" s="15">
        <v>0.1</v>
      </c>
      <c r="E85" s="15">
        <v>0</v>
      </c>
      <c r="F85" s="15">
        <v>1</v>
      </c>
      <c r="G85" s="15">
        <v>1</v>
      </c>
      <c r="H85" s="16">
        <f t="shared" si="1"/>
        <v>1</v>
      </c>
      <c r="I85" s="8"/>
      <c r="J85" s="8"/>
      <c r="K85" s="8"/>
      <c r="L85" s="10"/>
    </row>
    <row r="86" spans="1:12">
      <c r="A86" s="7"/>
      <c r="B86" s="15">
        <v>10</v>
      </c>
      <c r="C86" s="15">
        <v>14</v>
      </c>
      <c r="D86" s="15">
        <v>0.1</v>
      </c>
      <c r="E86" s="15">
        <v>1</v>
      </c>
      <c r="F86" s="15">
        <v>0</v>
      </c>
      <c r="G86" s="15">
        <v>1</v>
      </c>
      <c r="H86" s="16">
        <f t="shared" si="1"/>
        <v>1</v>
      </c>
      <c r="I86" s="8"/>
      <c r="J86" s="8"/>
      <c r="K86" s="8"/>
      <c r="L86" s="10"/>
    </row>
    <row r="87" spans="1:12">
      <c r="A87" s="7"/>
      <c r="B87" s="15">
        <v>10</v>
      </c>
      <c r="C87" s="15">
        <v>14</v>
      </c>
      <c r="D87" s="15">
        <v>0.1</v>
      </c>
      <c r="E87" s="15">
        <v>1</v>
      </c>
      <c r="F87" s="15">
        <v>1</v>
      </c>
      <c r="G87" s="15">
        <v>2</v>
      </c>
      <c r="H87" s="16">
        <f t="shared" si="1"/>
        <v>0.5</v>
      </c>
      <c r="I87" s="8"/>
      <c r="J87" s="8"/>
      <c r="K87" s="8"/>
      <c r="L87" s="10"/>
    </row>
    <row r="88" spans="1:12">
      <c r="A88" s="11"/>
      <c r="B88" s="19">
        <v>10</v>
      </c>
      <c r="C88" s="19">
        <v>14</v>
      </c>
      <c r="D88" s="19">
        <v>0.1</v>
      </c>
      <c r="E88" s="19">
        <v>1</v>
      </c>
      <c r="F88" s="19">
        <v>0</v>
      </c>
      <c r="G88" s="19">
        <v>1</v>
      </c>
      <c r="H88" s="20">
        <f t="shared" si="1"/>
        <v>1</v>
      </c>
      <c r="I88" s="12"/>
      <c r="J88" s="12"/>
      <c r="K88" s="12">
        <f>SUM(G82:G88)</f>
        <v>10</v>
      </c>
      <c r="L88" s="14">
        <f>SUM(E82:E88)</f>
        <v>6</v>
      </c>
    </row>
    <row r="89" spans="1:12">
      <c r="A89" s="3" t="s">
        <v>28</v>
      </c>
      <c r="B89" s="17">
        <v>11</v>
      </c>
      <c r="C89" s="17">
        <v>14</v>
      </c>
      <c r="D89" s="17">
        <v>0.1</v>
      </c>
      <c r="E89" s="17">
        <v>1</v>
      </c>
      <c r="F89" s="17">
        <v>0</v>
      </c>
      <c r="G89" s="17">
        <v>1</v>
      </c>
      <c r="H89" s="18">
        <f t="shared" si="1"/>
        <v>1</v>
      </c>
      <c r="I89" s="5">
        <f>7/21</f>
        <v>0.33333333333333331</v>
      </c>
      <c r="J89" s="5">
        <f>10/21</f>
        <v>0.47619047619047616</v>
      </c>
      <c r="K89" s="4">
        <v>31</v>
      </c>
      <c r="L89" s="6">
        <v>20</v>
      </c>
    </row>
    <row r="90" spans="1:12">
      <c r="A90" s="7" t="s">
        <v>12</v>
      </c>
      <c r="B90" s="15">
        <v>11</v>
      </c>
      <c r="C90" s="15">
        <v>14</v>
      </c>
      <c r="D90" s="15">
        <v>0.1</v>
      </c>
      <c r="E90" s="15">
        <v>1</v>
      </c>
      <c r="F90" s="15">
        <v>1</v>
      </c>
      <c r="G90" s="15">
        <v>2</v>
      </c>
      <c r="H90" s="16">
        <f t="shared" si="1"/>
        <v>0.5</v>
      </c>
      <c r="I90" s="8"/>
      <c r="J90" s="8"/>
      <c r="K90" s="8"/>
      <c r="L90" s="10"/>
    </row>
    <row r="91" spans="1:12">
      <c r="A91" s="7"/>
      <c r="B91" s="15">
        <v>11</v>
      </c>
      <c r="C91" s="15">
        <v>14</v>
      </c>
      <c r="D91" s="15">
        <v>0.1</v>
      </c>
      <c r="E91" s="15">
        <v>1</v>
      </c>
      <c r="F91" s="15">
        <v>0</v>
      </c>
      <c r="G91" s="15">
        <v>1</v>
      </c>
      <c r="H91" s="16">
        <f t="shared" si="1"/>
        <v>1</v>
      </c>
      <c r="I91" s="8"/>
      <c r="J91" s="8"/>
      <c r="K91" s="8"/>
      <c r="L91" s="10"/>
    </row>
    <row r="92" spans="1:12">
      <c r="A92" s="7"/>
      <c r="B92" s="15">
        <v>11</v>
      </c>
      <c r="C92" s="15">
        <v>14</v>
      </c>
      <c r="D92" s="15">
        <v>0.1</v>
      </c>
      <c r="E92" s="15">
        <v>1</v>
      </c>
      <c r="F92" s="15">
        <v>0</v>
      </c>
      <c r="G92" s="15">
        <v>1</v>
      </c>
      <c r="H92" s="16">
        <f t="shared" si="1"/>
        <v>1</v>
      </c>
      <c r="I92" s="8"/>
      <c r="J92" s="8"/>
      <c r="K92" s="8"/>
      <c r="L92" s="10"/>
    </row>
    <row r="93" spans="1:12">
      <c r="A93" s="7"/>
      <c r="B93" s="15">
        <v>11</v>
      </c>
      <c r="C93" s="15">
        <v>14</v>
      </c>
      <c r="D93" s="15">
        <v>0.2</v>
      </c>
      <c r="E93" s="15">
        <v>1</v>
      </c>
      <c r="F93" s="15">
        <v>1</v>
      </c>
      <c r="G93" s="15">
        <v>2</v>
      </c>
      <c r="H93" s="16">
        <f t="shared" si="1"/>
        <v>0.5</v>
      </c>
      <c r="I93" s="8"/>
      <c r="J93" s="8"/>
      <c r="K93" s="8"/>
      <c r="L93" s="10"/>
    </row>
    <row r="94" spans="1:12">
      <c r="A94" s="7"/>
      <c r="B94" s="15">
        <v>11</v>
      </c>
      <c r="C94" s="15">
        <v>14</v>
      </c>
      <c r="D94" s="15">
        <v>0.2</v>
      </c>
      <c r="E94" s="15">
        <v>6</v>
      </c>
      <c r="F94" s="15">
        <v>2</v>
      </c>
      <c r="G94" s="15">
        <v>8</v>
      </c>
      <c r="H94" s="16">
        <f t="shared" si="1"/>
        <v>0.125</v>
      </c>
      <c r="I94" s="8"/>
      <c r="J94" s="8"/>
      <c r="K94" s="8"/>
      <c r="L94" s="10"/>
    </row>
    <row r="95" spans="1:12">
      <c r="A95" s="11"/>
      <c r="B95" s="19">
        <v>11</v>
      </c>
      <c r="C95" s="19">
        <v>14</v>
      </c>
      <c r="D95" s="19">
        <v>0.2</v>
      </c>
      <c r="E95" s="19">
        <v>3</v>
      </c>
      <c r="F95" s="19">
        <v>3</v>
      </c>
      <c r="G95" s="19">
        <v>6</v>
      </c>
      <c r="H95" s="20">
        <f t="shared" si="1"/>
        <v>0.16666666666666666</v>
      </c>
      <c r="I95" s="12"/>
      <c r="J95" s="12"/>
      <c r="K95" s="12">
        <f>SUM(G82:G95)</f>
        <v>31</v>
      </c>
      <c r="L95" s="14">
        <f>SUM(E82:E95)</f>
        <v>20</v>
      </c>
    </row>
    <row r="96" spans="1:12">
      <c r="A96" s="3" t="s">
        <v>28</v>
      </c>
      <c r="B96" s="17">
        <v>12</v>
      </c>
      <c r="C96" s="17">
        <v>14</v>
      </c>
      <c r="D96" s="17">
        <v>0.1</v>
      </c>
      <c r="E96" s="17">
        <v>6</v>
      </c>
      <c r="F96" s="17">
        <v>1</v>
      </c>
      <c r="G96" s="17">
        <v>7</v>
      </c>
      <c r="H96" s="18">
        <f t="shared" si="1"/>
        <v>0.14285714285714285</v>
      </c>
      <c r="I96" s="5">
        <f>9/30</f>
        <v>0.3</v>
      </c>
      <c r="J96" s="5">
        <f>10/30</f>
        <v>0.33333333333333331</v>
      </c>
      <c r="K96" s="4">
        <v>61</v>
      </c>
      <c r="L96" s="6">
        <v>43</v>
      </c>
    </row>
    <row r="97" spans="1:12">
      <c r="A97" s="7" t="s">
        <v>13</v>
      </c>
      <c r="B97" s="15">
        <v>12</v>
      </c>
      <c r="C97" s="15">
        <v>14</v>
      </c>
      <c r="D97" s="15">
        <v>0.1</v>
      </c>
      <c r="E97" s="15">
        <v>2</v>
      </c>
      <c r="F97" s="15">
        <v>1</v>
      </c>
      <c r="G97" s="15">
        <v>3</v>
      </c>
      <c r="H97" s="16">
        <f t="shared" si="1"/>
        <v>0.33333333333333331</v>
      </c>
      <c r="I97" s="8"/>
      <c r="J97" s="8"/>
      <c r="K97" s="8"/>
      <c r="L97" s="10"/>
    </row>
    <row r="98" spans="1:12">
      <c r="A98" s="7"/>
      <c r="B98" s="15">
        <v>12</v>
      </c>
      <c r="C98" s="15">
        <v>14</v>
      </c>
      <c r="D98" s="15">
        <v>0.1</v>
      </c>
      <c r="E98" s="15">
        <v>1</v>
      </c>
      <c r="F98" s="15">
        <v>0</v>
      </c>
      <c r="G98" s="15">
        <v>1</v>
      </c>
      <c r="H98" s="16">
        <f t="shared" si="1"/>
        <v>1</v>
      </c>
      <c r="I98" s="8"/>
      <c r="J98" s="8"/>
      <c r="K98" s="8"/>
      <c r="L98" s="10"/>
    </row>
    <row r="99" spans="1:12">
      <c r="A99" s="7"/>
      <c r="B99" s="15">
        <v>12</v>
      </c>
      <c r="C99" s="15">
        <v>14</v>
      </c>
      <c r="D99" s="15">
        <v>0.1</v>
      </c>
      <c r="E99" s="15">
        <v>1</v>
      </c>
      <c r="F99" s="15">
        <v>1</v>
      </c>
      <c r="G99" s="15">
        <v>2</v>
      </c>
      <c r="H99" s="16">
        <f t="shared" si="1"/>
        <v>0.5</v>
      </c>
      <c r="I99" s="8"/>
      <c r="J99" s="8"/>
      <c r="K99" s="8"/>
      <c r="L99" s="10"/>
    </row>
    <row r="100" spans="1:12">
      <c r="A100" s="7"/>
      <c r="B100" s="15">
        <v>12</v>
      </c>
      <c r="C100" s="15">
        <v>14</v>
      </c>
      <c r="D100" s="15">
        <v>0.1</v>
      </c>
      <c r="E100" s="15">
        <v>2</v>
      </c>
      <c r="F100" s="15">
        <v>0</v>
      </c>
      <c r="G100" s="15">
        <v>2</v>
      </c>
      <c r="H100" s="16">
        <f t="shared" si="1"/>
        <v>0.5</v>
      </c>
      <c r="I100" s="8"/>
      <c r="J100" s="8"/>
      <c r="K100" s="8"/>
      <c r="L100" s="10"/>
    </row>
    <row r="101" spans="1:12">
      <c r="A101" s="7"/>
      <c r="B101" s="15">
        <v>12</v>
      </c>
      <c r="C101" s="15">
        <v>14</v>
      </c>
      <c r="D101" s="15">
        <v>0.1</v>
      </c>
      <c r="E101" s="15">
        <v>2</v>
      </c>
      <c r="F101" s="15">
        <v>1</v>
      </c>
      <c r="G101" s="15">
        <v>3</v>
      </c>
      <c r="H101" s="16">
        <f t="shared" si="1"/>
        <v>0.33333333333333331</v>
      </c>
      <c r="I101" s="8"/>
      <c r="J101" s="8"/>
      <c r="K101" s="8"/>
      <c r="L101" s="10"/>
    </row>
    <row r="102" spans="1:12">
      <c r="A102" s="7"/>
      <c r="B102" s="15">
        <v>12</v>
      </c>
      <c r="C102" s="15">
        <v>14</v>
      </c>
      <c r="D102" s="15">
        <v>0.2</v>
      </c>
      <c r="E102" s="15">
        <v>5</v>
      </c>
      <c r="F102" s="15">
        <v>1</v>
      </c>
      <c r="G102" s="15">
        <v>6</v>
      </c>
      <c r="H102" s="16">
        <f t="shared" si="1"/>
        <v>0.16666666666666666</v>
      </c>
      <c r="I102" s="8"/>
      <c r="J102" s="8"/>
      <c r="K102" s="8"/>
      <c r="L102" s="10"/>
    </row>
    <row r="103" spans="1:12">
      <c r="A103" s="7"/>
      <c r="B103" s="15">
        <v>12</v>
      </c>
      <c r="C103" s="15">
        <v>14</v>
      </c>
      <c r="D103" s="15">
        <v>0.1</v>
      </c>
      <c r="E103" s="15">
        <v>4</v>
      </c>
      <c r="F103" s="15">
        <v>0</v>
      </c>
      <c r="G103" s="15">
        <v>4</v>
      </c>
      <c r="H103" s="16">
        <f t="shared" si="1"/>
        <v>0.25</v>
      </c>
      <c r="I103" s="8"/>
      <c r="J103" s="8"/>
      <c r="K103" s="8"/>
      <c r="L103" s="10"/>
    </row>
    <row r="104" spans="1:12">
      <c r="A104" s="11"/>
      <c r="B104" s="19">
        <v>12</v>
      </c>
      <c r="C104" s="19">
        <v>14</v>
      </c>
      <c r="D104" s="19">
        <v>0.1</v>
      </c>
      <c r="E104" s="19">
        <v>0</v>
      </c>
      <c r="F104" s="19">
        <v>2</v>
      </c>
      <c r="G104" s="19">
        <v>2</v>
      </c>
      <c r="H104" s="20">
        <f t="shared" si="1"/>
        <v>0.5</v>
      </c>
      <c r="I104" s="12"/>
      <c r="J104" s="12"/>
      <c r="K104" s="12">
        <f>SUM(G82:G104)</f>
        <v>61</v>
      </c>
      <c r="L104" s="14">
        <f>SUM(E82:E104)</f>
        <v>43</v>
      </c>
    </row>
    <row r="105" spans="1:12">
      <c r="A105" s="3" t="s">
        <v>28</v>
      </c>
      <c r="B105" s="17">
        <v>13</v>
      </c>
      <c r="C105" s="17">
        <v>14</v>
      </c>
      <c r="D105" s="17">
        <v>0.1</v>
      </c>
      <c r="E105" s="17">
        <v>9</v>
      </c>
      <c r="F105" s="17">
        <v>2</v>
      </c>
      <c r="G105" s="17">
        <v>11</v>
      </c>
      <c r="H105" s="18">
        <f t="shared" si="1"/>
        <v>9.0909090909090912E-2</v>
      </c>
      <c r="I105" s="5">
        <f>9/48</f>
        <v>0.1875</v>
      </c>
      <c r="J105" s="5">
        <f>10/48</f>
        <v>0.20833333333333334</v>
      </c>
      <c r="K105" s="4">
        <v>109</v>
      </c>
      <c r="L105" s="6">
        <v>87</v>
      </c>
    </row>
    <row r="106" spans="1:12">
      <c r="A106" s="7" t="s">
        <v>14</v>
      </c>
      <c r="B106" s="15">
        <v>13</v>
      </c>
      <c r="C106" s="15">
        <v>14</v>
      </c>
      <c r="D106" s="15">
        <v>0.1</v>
      </c>
      <c r="E106" s="15">
        <v>13</v>
      </c>
      <c r="F106" s="15">
        <v>1</v>
      </c>
      <c r="G106" s="15">
        <v>14</v>
      </c>
      <c r="H106" s="16">
        <f t="shared" si="1"/>
        <v>7.1428571428571425E-2</v>
      </c>
      <c r="I106" s="8"/>
      <c r="J106" s="8"/>
      <c r="K106" s="8"/>
      <c r="L106" s="10"/>
    </row>
    <row r="107" spans="1:12">
      <c r="A107" s="7"/>
      <c r="B107" s="15">
        <v>13</v>
      </c>
      <c r="C107" s="15">
        <v>14</v>
      </c>
      <c r="D107" s="15">
        <v>0.1</v>
      </c>
      <c r="E107" s="15">
        <v>1</v>
      </c>
      <c r="F107" s="15">
        <v>0</v>
      </c>
      <c r="G107" s="15">
        <v>1</v>
      </c>
      <c r="H107" s="16">
        <f t="shared" si="1"/>
        <v>1</v>
      </c>
      <c r="I107" s="8"/>
      <c r="J107" s="8"/>
      <c r="K107" s="8"/>
      <c r="L107" s="10"/>
    </row>
    <row r="108" spans="1:12">
      <c r="A108" s="7"/>
      <c r="B108" s="15">
        <v>13</v>
      </c>
      <c r="C108" s="15">
        <v>14</v>
      </c>
      <c r="D108" s="15">
        <v>0.2</v>
      </c>
      <c r="E108" s="15">
        <v>4</v>
      </c>
      <c r="F108" s="15">
        <v>0</v>
      </c>
      <c r="G108" s="15">
        <v>4</v>
      </c>
      <c r="H108" s="16">
        <f t="shared" si="1"/>
        <v>0.25</v>
      </c>
      <c r="I108" s="8"/>
      <c r="J108" s="8"/>
      <c r="K108" s="8"/>
      <c r="L108" s="10"/>
    </row>
    <row r="109" spans="1:12">
      <c r="A109" s="7"/>
      <c r="B109" s="15">
        <v>13</v>
      </c>
      <c r="C109" s="15">
        <v>14</v>
      </c>
      <c r="D109" s="15">
        <v>0.1</v>
      </c>
      <c r="E109" s="15">
        <v>3</v>
      </c>
      <c r="F109" s="15">
        <v>0</v>
      </c>
      <c r="G109" s="15">
        <v>3</v>
      </c>
      <c r="H109" s="16">
        <f t="shared" si="1"/>
        <v>0.33333333333333331</v>
      </c>
      <c r="I109" s="8"/>
      <c r="J109" s="8"/>
      <c r="K109" s="8"/>
      <c r="L109" s="10"/>
    </row>
    <row r="110" spans="1:12">
      <c r="A110" s="7"/>
      <c r="B110" s="15">
        <v>13</v>
      </c>
      <c r="C110" s="15">
        <v>14</v>
      </c>
      <c r="D110" s="15">
        <v>0.1</v>
      </c>
      <c r="E110" s="15">
        <v>1</v>
      </c>
      <c r="F110" s="15">
        <v>0</v>
      </c>
      <c r="G110" s="15">
        <v>1</v>
      </c>
      <c r="H110" s="16">
        <f t="shared" si="1"/>
        <v>1</v>
      </c>
      <c r="I110" s="8"/>
      <c r="J110" s="8"/>
      <c r="K110" s="8"/>
      <c r="L110" s="10"/>
    </row>
    <row r="111" spans="1:12">
      <c r="A111" s="7"/>
      <c r="B111" s="15">
        <v>13</v>
      </c>
      <c r="C111" s="15">
        <v>14</v>
      </c>
      <c r="D111" s="15">
        <v>0.1</v>
      </c>
      <c r="E111" s="15">
        <v>6</v>
      </c>
      <c r="F111" s="15">
        <v>1</v>
      </c>
      <c r="G111" s="15">
        <v>7</v>
      </c>
      <c r="H111" s="16">
        <f t="shared" si="1"/>
        <v>0.14285714285714285</v>
      </c>
      <c r="I111" s="8"/>
      <c r="J111" s="8"/>
      <c r="K111" s="8"/>
      <c r="L111" s="10"/>
    </row>
    <row r="112" spans="1:12">
      <c r="A112" s="7"/>
      <c r="B112" s="15">
        <v>13</v>
      </c>
      <c r="C112" s="15">
        <v>14</v>
      </c>
      <c r="D112" s="15">
        <v>0.1</v>
      </c>
      <c r="E112" s="15">
        <v>4</v>
      </c>
      <c r="F112" s="15">
        <v>0</v>
      </c>
      <c r="G112" s="15">
        <v>4</v>
      </c>
      <c r="H112" s="16">
        <f t="shared" si="1"/>
        <v>0.25</v>
      </c>
      <c r="I112" s="8"/>
      <c r="J112" s="8"/>
      <c r="K112" s="8"/>
      <c r="L112" s="10"/>
    </row>
    <row r="113" spans="1:12">
      <c r="A113" s="11"/>
      <c r="B113" s="19">
        <v>13</v>
      </c>
      <c r="C113" s="19">
        <v>14</v>
      </c>
      <c r="D113" s="19">
        <v>0.1</v>
      </c>
      <c r="E113" s="19">
        <v>3</v>
      </c>
      <c r="F113" s="19">
        <v>0</v>
      </c>
      <c r="G113" s="19">
        <v>3</v>
      </c>
      <c r="H113" s="20">
        <f t="shared" si="1"/>
        <v>0.33333333333333331</v>
      </c>
      <c r="I113" s="12"/>
      <c r="J113" s="12"/>
      <c r="K113" s="12">
        <f>SUM(G82:G113)</f>
        <v>109</v>
      </c>
      <c r="L113" s="14">
        <f>SUM(E82:E113)</f>
        <v>87</v>
      </c>
    </row>
    <row r="114" spans="1:12">
      <c r="A114" s="3" t="s">
        <v>31</v>
      </c>
      <c r="B114" s="17">
        <v>14</v>
      </c>
      <c r="C114" s="17">
        <v>20</v>
      </c>
      <c r="D114" s="17">
        <v>0.1</v>
      </c>
      <c r="E114" s="17">
        <v>1</v>
      </c>
      <c r="F114" s="25">
        <v>5</v>
      </c>
      <c r="G114" s="26">
        <v>1</v>
      </c>
      <c r="H114" s="18">
        <f t="shared" si="1"/>
        <v>1</v>
      </c>
      <c r="I114" s="5">
        <f>5/5</f>
        <v>1</v>
      </c>
      <c r="J114" s="5">
        <f>11/5</f>
        <v>2.2000000000000002</v>
      </c>
      <c r="K114" s="4">
        <v>5</v>
      </c>
      <c r="L114" s="6">
        <v>5</v>
      </c>
    </row>
    <row r="115" spans="1:12">
      <c r="A115" s="7" t="s">
        <v>32</v>
      </c>
      <c r="B115" s="15">
        <v>14</v>
      </c>
      <c r="C115" s="15">
        <v>20</v>
      </c>
      <c r="D115" s="15">
        <v>0.2</v>
      </c>
      <c r="E115" s="15">
        <v>1</v>
      </c>
      <c r="F115" s="24">
        <v>0</v>
      </c>
      <c r="G115" s="15">
        <v>1</v>
      </c>
      <c r="H115" s="16">
        <f t="shared" si="1"/>
        <v>1</v>
      </c>
      <c r="I115" s="27">
        <f>5/17</f>
        <v>0.29411764705882354</v>
      </c>
      <c r="J115" s="27">
        <f>11/17</f>
        <v>0.6470588235294118</v>
      </c>
      <c r="K115" s="8"/>
      <c r="L115" s="10"/>
    </row>
    <row r="116" spans="1:12">
      <c r="A116" s="7"/>
      <c r="B116" s="15">
        <v>14</v>
      </c>
      <c r="C116" s="15">
        <v>20</v>
      </c>
      <c r="D116" s="15">
        <v>0.2</v>
      </c>
      <c r="E116" s="15">
        <v>1</v>
      </c>
      <c r="F116" s="24">
        <v>1</v>
      </c>
      <c r="G116" s="15">
        <v>1</v>
      </c>
      <c r="H116" s="16">
        <f t="shared" si="1"/>
        <v>1</v>
      </c>
      <c r="I116" s="28"/>
      <c r="J116" s="8"/>
      <c r="K116" s="8"/>
      <c r="L116" s="10"/>
    </row>
    <row r="117" spans="1:12">
      <c r="A117" s="7"/>
      <c r="B117" s="15">
        <v>14</v>
      </c>
      <c r="C117" s="15">
        <v>20</v>
      </c>
      <c r="D117" s="15">
        <v>0.2</v>
      </c>
      <c r="E117" s="15">
        <v>1</v>
      </c>
      <c r="F117" s="24">
        <v>4</v>
      </c>
      <c r="G117" s="15">
        <v>1</v>
      </c>
      <c r="H117" s="16">
        <f t="shared" si="1"/>
        <v>1</v>
      </c>
      <c r="I117" s="8"/>
      <c r="J117" s="8"/>
      <c r="K117" s="8"/>
      <c r="L117" s="10"/>
    </row>
    <row r="118" spans="1:12">
      <c r="A118" s="11"/>
      <c r="B118" s="19">
        <v>14</v>
      </c>
      <c r="C118" s="19">
        <v>20</v>
      </c>
      <c r="D118" s="19">
        <v>0.4</v>
      </c>
      <c r="E118" s="19">
        <v>1</v>
      </c>
      <c r="F118" s="29">
        <v>2</v>
      </c>
      <c r="G118" s="19">
        <v>1</v>
      </c>
      <c r="H118" s="20">
        <f t="shared" si="1"/>
        <v>1</v>
      </c>
      <c r="I118" s="12"/>
      <c r="J118" s="12"/>
      <c r="K118" s="12">
        <f>SUM(G114:G118)</f>
        <v>5</v>
      </c>
      <c r="L118" s="14">
        <f>SUM(E114:E118)</f>
        <v>5</v>
      </c>
    </row>
    <row r="119" spans="1:12">
      <c r="A119" s="3" t="s">
        <v>31</v>
      </c>
      <c r="B119" s="17">
        <v>15</v>
      </c>
      <c r="C119" s="17">
        <v>20</v>
      </c>
      <c r="D119" s="17">
        <v>0.2</v>
      </c>
      <c r="E119" s="17">
        <v>0</v>
      </c>
      <c r="F119" s="31">
        <v>2</v>
      </c>
      <c r="G119" s="17">
        <v>2</v>
      </c>
      <c r="H119" s="18">
        <f t="shared" si="1"/>
        <v>0.5</v>
      </c>
      <c r="I119" s="5">
        <f>5/8</f>
        <v>0.625</v>
      </c>
      <c r="J119" s="5">
        <f>9/8</f>
        <v>1.125</v>
      </c>
      <c r="K119" s="4">
        <v>13</v>
      </c>
      <c r="L119" s="6">
        <v>8</v>
      </c>
    </row>
    <row r="120" spans="1:12">
      <c r="A120" s="7" t="s">
        <v>33</v>
      </c>
      <c r="B120" s="15">
        <v>15</v>
      </c>
      <c r="C120" s="15">
        <v>20</v>
      </c>
      <c r="D120" s="15">
        <v>0.1</v>
      </c>
      <c r="E120" s="15">
        <v>0</v>
      </c>
      <c r="F120" s="30">
        <v>3</v>
      </c>
      <c r="G120" s="15">
        <v>3</v>
      </c>
      <c r="H120" s="16">
        <f t="shared" si="1"/>
        <v>0.33333333333333331</v>
      </c>
      <c r="I120" s="8"/>
      <c r="J120" s="8"/>
      <c r="K120" s="8"/>
      <c r="L120" s="10"/>
    </row>
    <row r="121" spans="1:12">
      <c r="A121" s="7"/>
      <c r="B121" s="15">
        <v>15</v>
      </c>
      <c r="C121" s="15">
        <v>20</v>
      </c>
      <c r="D121" s="15">
        <v>0.2</v>
      </c>
      <c r="E121" s="15">
        <v>1</v>
      </c>
      <c r="F121" s="30">
        <v>0</v>
      </c>
      <c r="G121" s="15">
        <v>1</v>
      </c>
      <c r="H121" s="16">
        <f t="shared" si="1"/>
        <v>1</v>
      </c>
      <c r="I121" s="8"/>
      <c r="J121" s="8"/>
      <c r="K121" s="8"/>
      <c r="L121" s="10"/>
    </row>
    <row r="122" spans="1:12">
      <c r="A122" s="7"/>
      <c r="B122" s="15">
        <v>15</v>
      </c>
      <c r="C122" s="15">
        <v>20</v>
      </c>
      <c r="D122" s="15">
        <v>0.2</v>
      </c>
      <c r="E122" s="15">
        <v>1</v>
      </c>
      <c r="F122" s="30">
        <v>0</v>
      </c>
      <c r="G122" s="15">
        <v>1</v>
      </c>
      <c r="H122" s="16">
        <f t="shared" si="1"/>
        <v>1</v>
      </c>
      <c r="I122" s="8"/>
      <c r="J122" s="8"/>
      <c r="K122" s="8"/>
      <c r="L122" s="10"/>
    </row>
    <row r="123" spans="1:12">
      <c r="A123" s="11"/>
      <c r="B123" s="19">
        <v>15</v>
      </c>
      <c r="C123" s="19">
        <v>20</v>
      </c>
      <c r="D123" s="19">
        <v>0.2</v>
      </c>
      <c r="E123" s="19">
        <v>1</v>
      </c>
      <c r="F123" s="32">
        <v>0</v>
      </c>
      <c r="G123" s="19">
        <v>1</v>
      </c>
      <c r="H123" s="20">
        <f t="shared" si="1"/>
        <v>1</v>
      </c>
      <c r="I123" s="12"/>
      <c r="J123" s="12"/>
      <c r="K123" s="12">
        <f>SUM(G114:G123)</f>
        <v>13</v>
      </c>
      <c r="L123" s="14">
        <f>SUM(E114:E123)</f>
        <v>8</v>
      </c>
    </row>
    <row r="124" spans="1:12">
      <c r="A124" s="3" t="s">
        <v>31</v>
      </c>
      <c r="B124" s="17">
        <v>16</v>
      </c>
      <c r="C124" s="17">
        <v>20</v>
      </c>
      <c r="D124" s="17">
        <v>0.1</v>
      </c>
      <c r="E124" s="17">
        <v>1</v>
      </c>
      <c r="F124" s="31">
        <v>0</v>
      </c>
      <c r="G124" s="17">
        <v>1</v>
      </c>
      <c r="H124" s="18">
        <f t="shared" si="1"/>
        <v>1</v>
      </c>
      <c r="I124" s="5">
        <f>10/11</f>
        <v>0.90909090909090906</v>
      </c>
      <c r="J124" s="5">
        <f>10/11</f>
        <v>0.90909090909090906</v>
      </c>
      <c r="K124" s="4">
        <v>24</v>
      </c>
      <c r="L124" s="6">
        <v>16</v>
      </c>
    </row>
    <row r="125" spans="1:12">
      <c r="A125" s="7" t="s">
        <v>18</v>
      </c>
      <c r="B125" s="15">
        <v>16</v>
      </c>
      <c r="C125" s="15">
        <v>20</v>
      </c>
      <c r="D125" s="15">
        <v>0.1</v>
      </c>
      <c r="E125" s="15">
        <v>1</v>
      </c>
      <c r="F125" s="30">
        <v>0</v>
      </c>
      <c r="G125" s="15">
        <v>1</v>
      </c>
      <c r="H125" s="16">
        <f t="shared" si="1"/>
        <v>1</v>
      </c>
      <c r="I125" s="8"/>
      <c r="J125" s="8"/>
      <c r="K125" s="8"/>
      <c r="L125" s="10"/>
    </row>
    <row r="126" spans="1:12">
      <c r="A126" s="7"/>
      <c r="B126" s="15">
        <v>16</v>
      </c>
      <c r="C126" s="15">
        <v>20</v>
      </c>
      <c r="D126" s="15">
        <v>0.1</v>
      </c>
      <c r="E126" s="15">
        <v>1</v>
      </c>
      <c r="F126" s="30">
        <v>1</v>
      </c>
      <c r="G126" s="15">
        <v>2</v>
      </c>
      <c r="H126" s="16">
        <f t="shared" si="1"/>
        <v>0.5</v>
      </c>
      <c r="I126" s="8"/>
      <c r="J126" s="8"/>
      <c r="K126" s="8"/>
      <c r="L126" s="10"/>
    </row>
    <row r="127" spans="1:12">
      <c r="A127" s="7"/>
      <c r="B127" s="15">
        <v>16</v>
      </c>
      <c r="C127" s="15">
        <v>20</v>
      </c>
      <c r="D127" s="15">
        <v>0.1</v>
      </c>
      <c r="E127" s="15">
        <v>1</v>
      </c>
      <c r="F127" s="30">
        <v>0</v>
      </c>
      <c r="G127" s="15">
        <v>1</v>
      </c>
      <c r="H127" s="16">
        <f t="shared" si="1"/>
        <v>1</v>
      </c>
      <c r="I127" s="8"/>
      <c r="J127" s="8"/>
      <c r="K127" s="8"/>
      <c r="L127" s="10"/>
    </row>
    <row r="128" spans="1:12">
      <c r="A128" s="7"/>
      <c r="B128" s="15">
        <v>16</v>
      </c>
      <c r="C128" s="15">
        <v>20</v>
      </c>
      <c r="D128" s="15">
        <v>0.1</v>
      </c>
      <c r="E128" s="15">
        <v>1</v>
      </c>
      <c r="F128" s="30">
        <v>0</v>
      </c>
      <c r="G128" s="15">
        <v>1</v>
      </c>
      <c r="H128" s="16">
        <f t="shared" si="1"/>
        <v>1</v>
      </c>
      <c r="I128" s="8"/>
      <c r="J128" s="8"/>
      <c r="K128" s="8"/>
      <c r="L128" s="10"/>
    </row>
    <row r="129" spans="1:12">
      <c r="A129" s="7"/>
      <c r="B129" s="15">
        <v>16</v>
      </c>
      <c r="C129" s="15">
        <v>20</v>
      </c>
      <c r="D129" s="15">
        <v>0.1</v>
      </c>
      <c r="E129" s="15">
        <v>1</v>
      </c>
      <c r="F129" s="30">
        <v>0</v>
      </c>
      <c r="G129" s="15">
        <v>1</v>
      </c>
      <c r="H129" s="16">
        <f t="shared" si="1"/>
        <v>1</v>
      </c>
      <c r="I129" s="8"/>
      <c r="J129" s="8"/>
      <c r="K129" s="8"/>
      <c r="L129" s="10"/>
    </row>
    <row r="130" spans="1:12">
      <c r="A130" s="7"/>
      <c r="B130" s="15">
        <v>16</v>
      </c>
      <c r="C130" s="15">
        <v>20</v>
      </c>
      <c r="D130" s="15">
        <v>0.1</v>
      </c>
      <c r="E130" s="15">
        <v>1</v>
      </c>
      <c r="F130" s="30">
        <v>0</v>
      </c>
      <c r="G130" s="15">
        <v>1</v>
      </c>
      <c r="H130" s="16">
        <f t="shared" ref="H130:H193" si="2">1/G130</f>
        <v>1</v>
      </c>
      <c r="I130" s="8"/>
      <c r="J130" s="8"/>
      <c r="K130" s="8"/>
      <c r="L130" s="10"/>
    </row>
    <row r="131" spans="1:12">
      <c r="A131" s="7"/>
      <c r="B131" s="15">
        <v>16</v>
      </c>
      <c r="C131" s="15">
        <v>20</v>
      </c>
      <c r="D131" s="15">
        <v>0.1</v>
      </c>
      <c r="E131" s="15">
        <v>0</v>
      </c>
      <c r="F131" s="30">
        <v>1</v>
      </c>
      <c r="G131" s="15">
        <v>1</v>
      </c>
      <c r="H131" s="16">
        <f t="shared" si="2"/>
        <v>1</v>
      </c>
      <c r="I131" s="8"/>
      <c r="J131" s="8"/>
      <c r="K131" s="8"/>
      <c r="L131" s="10"/>
    </row>
    <row r="132" spans="1:12">
      <c r="A132" s="7"/>
      <c r="B132" s="15">
        <v>16</v>
      </c>
      <c r="C132" s="15">
        <v>20</v>
      </c>
      <c r="D132" s="15">
        <v>0.1</v>
      </c>
      <c r="E132" s="15">
        <v>1</v>
      </c>
      <c r="F132" s="30">
        <v>0</v>
      </c>
      <c r="G132" s="15">
        <v>1</v>
      </c>
      <c r="H132" s="16">
        <f t="shared" si="2"/>
        <v>1</v>
      </c>
      <c r="I132" s="8"/>
      <c r="J132" s="8"/>
      <c r="K132" s="8"/>
      <c r="L132" s="10"/>
    </row>
    <row r="133" spans="1:12">
      <c r="A133" s="11"/>
      <c r="B133" s="19">
        <v>16</v>
      </c>
      <c r="C133" s="19">
        <v>20</v>
      </c>
      <c r="D133" s="19">
        <v>0.1</v>
      </c>
      <c r="E133" s="19">
        <v>0</v>
      </c>
      <c r="F133" s="32">
        <v>1</v>
      </c>
      <c r="G133" s="19">
        <v>1</v>
      </c>
      <c r="H133" s="20">
        <f t="shared" si="2"/>
        <v>1</v>
      </c>
      <c r="I133" s="12"/>
      <c r="J133" s="12"/>
      <c r="K133" s="12">
        <f>SUM(G114:G133)</f>
        <v>24</v>
      </c>
      <c r="L133" s="14">
        <f>SUM(E114:E133)</f>
        <v>16</v>
      </c>
    </row>
    <row r="134" spans="1:12">
      <c r="A134" s="3" t="s">
        <v>31</v>
      </c>
      <c r="B134" s="17">
        <v>17</v>
      </c>
      <c r="C134" s="17">
        <v>20</v>
      </c>
      <c r="D134" s="17">
        <v>0.2</v>
      </c>
      <c r="E134" s="17">
        <v>3</v>
      </c>
      <c r="F134" s="31">
        <v>1</v>
      </c>
      <c r="G134" s="17">
        <v>4</v>
      </c>
      <c r="H134" s="18">
        <f t="shared" si="2"/>
        <v>0.25</v>
      </c>
      <c r="I134" s="5">
        <f>7/16</f>
        <v>0.4375</v>
      </c>
      <c r="J134" s="5">
        <f>10/16</f>
        <v>0.625</v>
      </c>
      <c r="K134" s="4">
        <v>40</v>
      </c>
      <c r="L134" s="6">
        <v>24</v>
      </c>
    </row>
    <row r="135" spans="1:12">
      <c r="A135" s="7" t="s">
        <v>12</v>
      </c>
      <c r="B135" s="15">
        <v>17</v>
      </c>
      <c r="C135" s="15">
        <v>20</v>
      </c>
      <c r="D135" s="15">
        <v>0.1</v>
      </c>
      <c r="E135" s="15">
        <v>1</v>
      </c>
      <c r="F135" s="30">
        <v>0</v>
      </c>
      <c r="G135" s="15">
        <v>1</v>
      </c>
      <c r="H135" s="16">
        <f t="shared" si="2"/>
        <v>1</v>
      </c>
      <c r="I135" s="8"/>
      <c r="J135" s="8"/>
      <c r="K135" s="8"/>
      <c r="L135" s="10"/>
    </row>
    <row r="136" spans="1:12">
      <c r="A136" s="7"/>
      <c r="B136" s="15">
        <v>17</v>
      </c>
      <c r="C136" s="15">
        <v>20</v>
      </c>
      <c r="D136" s="15">
        <v>0.1</v>
      </c>
      <c r="E136" s="15">
        <v>0</v>
      </c>
      <c r="F136" s="30">
        <v>1</v>
      </c>
      <c r="G136" s="15">
        <v>1</v>
      </c>
      <c r="H136" s="16">
        <f t="shared" si="2"/>
        <v>1</v>
      </c>
      <c r="I136" s="8"/>
      <c r="J136" s="8"/>
      <c r="K136" s="8"/>
      <c r="L136" s="10"/>
    </row>
    <row r="137" spans="1:12">
      <c r="A137" s="7"/>
      <c r="B137" s="15">
        <v>17</v>
      </c>
      <c r="C137" s="15">
        <v>20</v>
      </c>
      <c r="D137" s="15">
        <v>0.2</v>
      </c>
      <c r="E137" s="15">
        <v>1</v>
      </c>
      <c r="F137" s="30">
        <v>0</v>
      </c>
      <c r="G137" s="15">
        <v>1</v>
      </c>
      <c r="H137" s="16">
        <f t="shared" si="2"/>
        <v>1</v>
      </c>
      <c r="I137" s="8"/>
      <c r="J137" s="8"/>
      <c r="K137" s="8"/>
      <c r="L137" s="10"/>
    </row>
    <row r="138" spans="1:12">
      <c r="A138" s="7"/>
      <c r="B138" s="15">
        <v>17</v>
      </c>
      <c r="C138" s="15">
        <v>20</v>
      </c>
      <c r="D138" s="15">
        <v>0.2</v>
      </c>
      <c r="E138" s="15">
        <v>0</v>
      </c>
      <c r="F138" s="30">
        <v>3</v>
      </c>
      <c r="G138" s="15">
        <v>3</v>
      </c>
      <c r="H138" s="16">
        <f t="shared" si="2"/>
        <v>0.33333333333333331</v>
      </c>
      <c r="I138" s="8"/>
      <c r="J138" s="8"/>
      <c r="K138" s="8"/>
      <c r="L138" s="10"/>
    </row>
    <row r="139" spans="1:12">
      <c r="A139" s="7"/>
      <c r="B139" s="15">
        <v>17</v>
      </c>
      <c r="C139" s="15">
        <v>20</v>
      </c>
      <c r="D139" s="15">
        <v>0.1</v>
      </c>
      <c r="E139" s="15">
        <v>2</v>
      </c>
      <c r="F139" s="30">
        <v>0</v>
      </c>
      <c r="G139" s="15">
        <v>2</v>
      </c>
      <c r="H139" s="16">
        <f t="shared" si="2"/>
        <v>0.5</v>
      </c>
      <c r="I139" s="8"/>
      <c r="J139" s="8"/>
      <c r="K139" s="8"/>
      <c r="L139" s="10"/>
    </row>
    <row r="140" spans="1:12">
      <c r="A140" s="11"/>
      <c r="B140" s="19">
        <v>17</v>
      </c>
      <c r="C140" s="19">
        <v>20</v>
      </c>
      <c r="D140" s="19">
        <v>0.1</v>
      </c>
      <c r="E140" s="19">
        <v>1</v>
      </c>
      <c r="F140" s="32">
        <v>3</v>
      </c>
      <c r="G140" s="19">
        <v>4</v>
      </c>
      <c r="H140" s="20">
        <f t="shared" si="2"/>
        <v>0.25</v>
      </c>
      <c r="I140" s="12"/>
      <c r="J140" s="12"/>
      <c r="K140" s="12">
        <f>SUM(G114:G140)</f>
        <v>40</v>
      </c>
      <c r="L140" s="14">
        <f>SUM(E114:E140)</f>
        <v>24</v>
      </c>
    </row>
    <row r="141" spans="1:12">
      <c r="A141" s="3" t="s">
        <v>31</v>
      </c>
      <c r="B141" s="17">
        <v>18</v>
      </c>
      <c r="C141" s="17">
        <v>20</v>
      </c>
      <c r="D141" s="17">
        <v>0.1</v>
      </c>
      <c r="E141" s="17">
        <v>3</v>
      </c>
      <c r="F141" s="31">
        <v>1</v>
      </c>
      <c r="G141" s="17">
        <v>4</v>
      </c>
      <c r="H141" s="18">
        <f t="shared" si="2"/>
        <v>0.25</v>
      </c>
      <c r="I141" s="5">
        <f>9/19</f>
        <v>0.47368421052631576</v>
      </c>
      <c r="J141" s="5">
        <f>10/19</f>
        <v>0.52631578947368418</v>
      </c>
      <c r="K141" s="4">
        <v>59</v>
      </c>
      <c r="L141" s="6">
        <v>41</v>
      </c>
    </row>
    <row r="142" spans="1:12">
      <c r="A142" s="7" t="s">
        <v>13</v>
      </c>
      <c r="B142" s="15">
        <v>18</v>
      </c>
      <c r="C142" s="15">
        <v>20</v>
      </c>
      <c r="D142" s="15">
        <v>0.1</v>
      </c>
      <c r="E142" s="15">
        <v>1</v>
      </c>
      <c r="F142" s="30">
        <v>0</v>
      </c>
      <c r="G142" s="15">
        <v>1</v>
      </c>
      <c r="H142" s="16">
        <f t="shared" si="2"/>
        <v>1</v>
      </c>
      <c r="I142" s="8"/>
      <c r="J142" s="8"/>
      <c r="K142" s="8"/>
      <c r="L142" s="10"/>
    </row>
    <row r="143" spans="1:12">
      <c r="A143" s="7"/>
      <c r="B143" s="15">
        <v>18</v>
      </c>
      <c r="C143" s="15">
        <v>20</v>
      </c>
      <c r="D143" s="15">
        <v>0.1</v>
      </c>
      <c r="E143" s="15">
        <v>6</v>
      </c>
      <c r="F143" s="30">
        <v>0</v>
      </c>
      <c r="G143" s="15">
        <v>6</v>
      </c>
      <c r="H143" s="16">
        <f t="shared" si="2"/>
        <v>0.16666666666666666</v>
      </c>
      <c r="I143" s="8"/>
      <c r="J143" s="8"/>
      <c r="K143" s="8"/>
      <c r="L143" s="10"/>
    </row>
    <row r="144" spans="1:12">
      <c r="A144" s="7"/>
      <c r="B144" s="15">
        <v>18</v>
      </c>
      <c r="C144" s="15">
        <v>20</v>
      </c>
      <c r="D144" s="15">
        <v>0.1</v>
      </c>
      <c r="E144" s="15">
        <v>2</v>
      </c>
      <c r="F144" s="30">
        <v>0</v>
      </c>
      <c r="G144" s="15">
        <v>2</v>
      </c>
      <c r="H144" s="16">
        <f t="shared" si="2"/>
        <v>0.5</v>
      </c>
      <c r="I144" s="8"/>
      <c r="J144" s="8"/>
      <c r="K144" s="8"/>
      <c r="L144" s="10"/>
    </row>
    <row r="145" spans="1:12">
      <c r="A145" s="7"/>
      <c r="B145" s="15">
        <v>18</v>
      </c>
      <c r="C145" s="15">
        <v>20</v>
      </c>
      <c r="D145" s="15">
        <v>0.1</v>
      </c>
      <c r="E145" s="15">
        <v>0</v>
      </c>
      <c r="F145" s="30">
        <v>1</v>
      </c>
      <c r="G145" s="15">
        <v>1</v>
      </c>
      <c r="H145" s="16">
        <f t="shared" si="2"/>
        <v>1</v>
      </c>
      <c r="I145" s="8"/>
      <c r="J145" s="8"/>
      <c r="K145" s="8"/>
      <c r="L145" s="10"/>
    </row>
    <row r="146" spans="1:12">
      <c r="A146" s="7"/>
      <c r="B146" s="15">
        <v>18</v>
      </c>
      <c r="C146" s="15">
        <v>20</v>
      </c>
      <c r="D146" s="15">
        <v>0.2</v>
      </c>
      <c r="E146" s="15">
        <v>2</v>
      </c>
      <c r="F146" s="30">
        <v>0</v>
      </c>
      <c r="G146" s="15">
        <v>2</v>
      </c>
      <c r="H146" s="16">
        <f t="shared" si="2"/>
        <v>0.5</v>
      </c>
      <c r="I146" s="8"/>
      <c r="J146" s="8"/>
      <c r="K146" s="8"/>
      <c r="L146" s="10"/>
    </row>
    <row r="147" spans="1:12">
      <c r="A147" s="7"/>
      <c r="B147" s="15">
        <v>18</v>
      </c>
      <c r="C147" s="15">
        <v>20</v>
      </c>
      <c r="D147" s="15">
        <v>0.1</v>
      </c>
      <c r="E147" s="15">
        <v>1</v>
      </c>
      <c r="F147" s="30">
        <v>0</v>
      </c>
      <c r="G147" s="15">
        <v>1</v>
      </c>
      <c r="H147" s="16">
        <f t="shared" si="2"/>
        <v>1</v>
      </c>
      <c r="I147" s="8"/>
      <c r="J147" s="8"/>
      <c r="K147" s="8"/>
      <c r="L147" s="10"/>
    </row>
    <row r="148" spans="1:12">
      <c r="A148" s="7"/>
      <c r="B148" s="15">
        <v>18</v>
      </c>
      <c r="C148" s="15">
        <v>20</v>
      </c>
      <c r="D148" s="15">
        <v>0.1</v>
      </c>
      <c r="E148" s="15">
        <v>1</v>
      </c>
      <c r="F148" s="30">
        <v>0</v>
      </c>
      <c r="G148" s="15">
        <v>1</v>
      </c>
      <c r="H148" s="16">
        <f t="shared" si="2"/>
        <v>1</v>
      </c>
      <c r="I148" s="8"/>
      <c r="J148" s="8"/>
      <c r="K148" s="8"/>
      <c r="L148" s="10"/>
    </row>
    <row r="149" spans="1:12">
      <c r="A149" s="11"/>
      <c r="B149" s="19">
        <v>18</v>
      </c>
      <c r="C149" s="19">
        <v>20</v>
      </c>
      <c r="D149" s="19">
        <v>0.1</v>
      </c>
      <c r="E149" s="19">
        <v>1</v>
      </c>
      <c r="F149" s="32">
        <v>0</v>
      </c>
      <c r="G149" s="19">
        <v>1</v>
      </c>
      <c r="H149" s="20">
        <f t="shared" si="2"/>
        <v>1</v>
      </c>
      <c r="I149" s="12"/>
      <c r="J149" s="12"/>
      <c r="K149" s="12">
        <f>SUM(G114:G149)</f>
        <v>59</v>
      </c>
      <c r="L149" s="14">
        <f>SUM(E114:E149)</f>
        <v>41</v>
      </c>
    </row>
    <row r="150" spans="1:12">
      <c r="A150" s="3" t="s">
        <v>31</v>
      </c>
      <c r="B150" s="17">
        <v>19</v>
      </c>
      <c r="C150" s="17">
        <v>20</v>
      </c>
      <c r="D150" s="17">
        <v>0.1</v>
      </c>
      <c r="E150" s="17">
        <v>2</v>
      </c>
      <c r="F150" s="31">
        <v>0</v>
      </c>
      <c r="G150" s="17">
        <v>2</v>
      </c>
      <c r="H150" s="18">
        <f t="shared" si="2"/>
        <v>0.5</v>
      </c>
      <c r="I150" s="5">
        <f>9/33</f>
        <v>0.27272727272727271</v>
      </c>
      <c r="J150" s="5">
        <f>10/33</f>
        <v>0.30303030303030304</v>
      </c>
      <c r="K150" s="4">
        <v>92</v>
      </c>
      <c r="L150" s="6">
        <v>67</v>
      </c>
    </row>
    <row r="151" spans="1:12">
      <c r="A151" s="7" t="s">
        <v>14</v>
      </c>
      <c r="B151" s="15">
        <v>19</v>
      </c>
      <c r="C151" s="15">
        <v>20</v>
      </c>
      <c r="D151" s="15">
        <v>0.1</v>
      </c>
      <c r="E151" s="15">
        <v>3</v>
      </c>
      <c r="F151" s="30">
        <v>4</v>
      </c>
      <c r="G151" s="15">
        <v>7</v>
      </c>
      <c r="H151" s="16">
        <f t="shared" si="2"/>
        <v>0.14285714285714285</v>
      </c>
      <c r="I151" s="8"/>
      <c r="J151" s="8"/>
      <c r="K151" s="8"/>
      <c r="L151" s="10"/>
    </row>
    <row r="152" spans="1:12">
      <c r="A152" s="7"/>
      <c r="B152" s="15">
        <v>19</v>
      </c>
      <c r="C152" s="15">
        <v>20</v>
      </c>
      <c r="D152" s="15">
        <v>0.1</v>
      </c>
      <c r="E152" s="15">
        <v>1</v>
      </c>
      <c r="F152" s="30">
        <v>0</v>
      </c>
      <c r="G152" s="15">
        <v>1</v>
      </c>
      <c r="H152" s="16">
        <f t="shared" si="2"/>
        <v>1</v>
      </c>
      <c r="I152" s="8"/>
      <c r="J152" s="8"/>
      <c r="K152" s="8"/>
      <c r="L152" s="10"/>
    </row>
    <row r="153" spans="1:12">
      <c r="A153" s="7"/>
      <c r="B153" s="15">
        <v>19</v>
      </c>
      <c r="C153" s="15">
        <v>20</v>
      </c>
      <c r="D153" s="15">
        <v>0.1</v>
      </c>
      <c r="E153" s="15">
        <v>6</v>
      </c>
      <c r="F153" s="30">
        <v>1</v>
      </c>
      <c r="G153" s="15">
        <v>7</v>
      </c>
      <c r="H153" s="16">
        <f t="shared" si="2"/>
        <v>0.14285714285714285</v>
      </c>
      <c r="I153" s="8"/>
      <c r="J153" s="8"/>
      <c r="K153" s="8"/>
      <c r="L153" s="10"/>
    </row>
    <row r="154" spans="1:12">
      <c r="A154" s="7"/>
      <c r="B154" s="15">
        <v>19</v>
      </c>
      <c r="C154" s="15">
        <v>20</v>
      </c>
      <c r="D154" s="15">
        <v>0.1</v>
      </c>
      <c r="E154" s="15">
        <v>1</v>
      </c>
      <c r="F154" s="30">
        <v>0</v>
      </c>
      <c r="G154" s="15">
        <v>1</v>
      </c>
      <c r="H154" s="16">
        <f t="shared" si="2"/>
        <v>1</v>
      </c>
      <c r="I154" s="8"/>
      <c r="J154" s="8"/>
      <c r="K154" s="8"/>
      <c r="L154" s="10"/>
    </row>
    <row r="155" spans="1:12">
      <c r="A155" s="7"/>
      <c r="B155" s="15">
        <v>19</v>
      </c>
      <c r="C155" s="15">
        <v>20</v>
      </c>
      <c r="D155" s="15">
        <v>0.2</v>
      </c>
      <c r="E155" s="15">
        <v>2</v>
      </c>
      <c r="F155" s="30">
        <v>0</v>
      </c>
      <c r="G155" s="15">
        <v>2</v>
      </c>
      <c r="H155" s="16">
        <f t="shared" si="2"/>
        <v>0.5</v>
      </c>
      <c r="I155" s="8"/>
      <c r="J155" s="8"/>
      <c r="K155" s="8"/>
      <c r="L155" s="10"/>
    </row>
    <row r="156" spans="1:12">
      <c r="A156" s="7"/>
      <c r="B156" s="15">
        <v>19</v>
      </c>
      <c r="C156" s="15">
        <v>20</v>
      </c>
      <c r="D156" s="15">
        <v>0.1</v>
      </c>
      <c r="E156" s="15">
        <v>2</v>
      </c>
      <c r="F156" s="30">
        <v>0</v>
      </c>
      <c r="G156" s="15">
        <v>2</v>
      </c>
      <c r="H156" s="16">
        <f t="shared" si="2"/>
        <v>0.5</v>
      </c>
      <c r="I156" s="8"/>
      <c r="J156" s="8"/>
      <c r="K156" s="8"/>
      <c r="L156" s="10"/>
    </row>
    <row r="157" spans="1:12">
      <c r="A157" s="7"/>
      <c r="B157" s="15">
        <v>19</v>
      </c>
      <c r="C157" s="15">
        <v>20</v>
      </c>
      <c r="D157" s="15">
        <v>0.1</v>
      </c>
      <c r="E157" s="15">
        <v>6</v>
      </c>
      <c r="F157" s="30">
        <v>0</v>
      </c>
      <c r="G157" s="15">
        <v>6</v>
      </c>
      <c r="H157" s="16">
        <f t="shared" si="2"/>
        <v>0.16666666666666666</v>
      </c>
      <c r="I157" s="8"/>
      <c r="J157" s="8"/>
      <c r="K157" s="8"/>
      <c r="L157" s="10"/>
    </row>
    <row r="158" spans="1:12">
      <c r="A158" s="11"/>
      <c r="B158" s="19">
        <v>19</v>
      </c>
      <c r="C158" s="19">
        <v>20</v>
      </c>
      <c r="D158" s="19">
        <v>0.1</v>
      </c>
      <c r="E158" s="19">
        <v>3</v>
      </c>
      <c r="F158" s="32">
        <v>2</v>
      </c>
      <c r="G158" s="19">
        <v>5</v>
      </c>
      <c r="H158" s="20">
        <f t="shared" si="2"/>
        <v>0.2</v>
      </c>
      <c r="I158" s="12"/>
      <c r="J158" s="12"/>
      <c r="K158" s="12">
        <f>SUM(G114:G158)</f>
        <v>92</v>
      </c>
      <c r="L158" s="14">
        <f>SUM(E114:E158)</f>
        <v>67</v>
      </c>
    </row>
    <row r="159" spans="1:12">
      <c r="A159" s="3" t="s">
        <v>40</v>
      </c>
      <c r="B159" s="17">
        <v>20</v>
      </c>
      <c r="C159" s="17">
        <v>25</v>
      </c>
      <c r="D159" s="17">
        <v>0.2</v>
      </c>
      <c r="E159" s="17">
        <v>0</v>
      </c>
      <c r="F159" s="31">
        <v>1</v>
      </c>
      <c r="G159" s="17">
        <v>1</v>
      </c>
      <c r="H159" s="18">
        <f t="shared" si="2"/>
        <v>1</v>
      </c>
      <c r="I159" s="5">
        <f>6/10</f>
        <v>0.6</v>
      </c>
      <c r="J159" s="5">
        <f>11/10</f>
        <v>1.1000000000000001</v>
      </c>
      <c r="K159" s="4">
        <v>10</v>
      </c>
      <c r="L159" s="6">
        <v>4</v>
      </c>
    </row>
    <row r="160" spans="1:12">
      <c r="A160" s="7" t="s">
        <v>33</v>
      </c>
      <c r="B160" s="15">
        <v>20</v>
      </c>
      <c r="C160" s="15">
        <v>25</v>
      </c>
      <c r="D160" s="15">
        <v>0.1</v>
      </c>
      <c r="E160" s="15">
        <v>1</v>
      </c>
      <c r="F160" s="30">
        <v>1</v>
      </c>
      <c r="G160" s="15">
        <v>2</v>
      </c>
      <c r="H160" s="16">
        <f t="shared" si="2"/>
        <v>0.5</v>
      </c>
      <c r="I160" s="8"/>
      <c r="J160" s="8"/>
      <c r="K160" s="8"/>
      <c r="L160" s="10"/>
    </row>
    <row r="161" spans="1:12">
      <c r="A161" s="7"/>
      <c r="B161" s="15">
        <v>20</v>
      </c>
      <c r="C161" s="15">
        <v>25</v>
      </c>
      <c r="D161" s="15">
        <v>0.2</v>
      </c>
      <c r="E161" s="15">
        <v>1</v>
      </c>
      <c r="F161" s="30">
        <v>0</v>
      </c>
      <c r="G161" s="15">
        <v>1</v>
      </c>
      <c r="H161" s="16">
        <f t="shared" si="2"/>
        <v>1</v>
      </c>
      <c r="I161" s="8"/>
      <c r="J161" s="8"/>
      <c r="K161" s="8"/>
      <c r="L161" s="10"/>
    </row>
    <row r="162" spans="1:12">
      <c r="A162" s="7"/>
      <c r="B162" s="15">
        <v>20</v>
      </c>
      <c r="C162" s="15">
        <v>25</v>
      </c>
      <c r="D162" s="15">
        <v>0.1</v>
      </c>
      <c r="E162" s="15">
        <v>0</v>
      </c>
      <c r="F162" s="30">
        <v>2</v>
      </c>
      <c r="G162" s="15">
        <v>2</v>
      </c>
      <c r="H162" s="16">
        <f t="shared" si="2"/>
        <v>0.5</v>
      </c>
      <c r="I162" s="8"/>
      <c r="J162" s="8"/>
      <c r="K162" s="8"/>
      <c r="L162" s="10"/>
    </row>
    <row r="163" spans="1:12">
      <c r="A163" s="7"/>
      <c r="B163" s="15">
        <v>20</v>
      </c>
      <c r="C163" s="15">
        <v>25</v>
      </c>
      <c r="D163" s="15">
        <v>0.2</v>
      </c>
      <c r="E163" s="15">
        <v>1</v>
      </c>
      <c r="F163" s="30">
        <v>0</v>
      </c>
      <c r="G163" s="15">
        <v>1</v>
      </c>
      <c r="H163" s="16">
        <f t="shared" si="2"/>
        <v>1</v>
      </c>
      <c r="I163" s="8"/>
      <c r="J163" s="8"/>
      <c r="K163" s="8"/>
      <c r="L163" s="10"/>
    </row>
    <row r="164" spans="1:12">
      <c r="A164" s="11"/>
      <c r="B164" s="19">
        <v>20</v>
      </c>
      <c r="C164" s="19">
        <v>25</v>
      </c>
      <c r="D164" s="19">
        <v>0.3</v>
      </c>
      <c r="E164" s="19">
        <v>1</v>
      </c>
      <c r="F164" s="32">
        <v>2</v>
      </c>
      <c r="G164" s="19">
        <v>3</v>
      </c>
      <c r="H164" s="20">
        <f t="shared" si="2"/>
        <v>0.33333333333333331</v>
      </c>
      <c r="I164" s="12"/>
      <c r="J164" s="12"/>
      <c r="K164" s="12">
        <f>SUM(G159:G164)</f>
        <v>10</v>
      </c>
      <c r="L164" s="14">
        <f>SUM(E159:E164)</f>
        <v>4</v>
      </c>
    </row>
    <row r="165" spans="1:12">
      <c r="A165" s="3" t="s">
        <v>40</v>
      </c>
      <c r="B165" s="17">
        <v>21</v>
      </c>
      <c r="C165" s="17">
        <v>25</v>
      </c>
      <c r="D165" s="17">
        <v>0.1</v>
      </c>
      <c r="E165" s="17">
        <v>1</v>
      </c>
      <c r="F165" s="31">
        <v>0</v>
      </c>
      <c r="G165" s="17">
        <v>1</v>
      </c>
      <c r="H165" s="18">
        <f t="shared" si="2"/>
        <v>1</v>
      </c>
      <c r="I165" s="5">
        <f>6/16</f>
        <v>0.375</v>
      </c>
      <c r="J165" s="5">
        <f>9/16</f>
        <v>0.5625</v>
      </c>
      <c r="K165" s="4">
        <v>26</v>
      </c>
      <c r="L165" s="6">
        <v>16</v>
      </c>
    </row>
    <row r="166" spans="1:12">
      <c r="A166" s="7" t="s">
        <v>18</v>
      </c>
      <c r="B166" s="15">
        <v>21</v>
      </c>
      <c r="C166" s="15">
        <v>25</v>
      </c>
      <c r="D166" s="15">
        <v>0.2</v>
      </c>
      <c r="E166" s="15">
        <v>3</v>
      </c>
      <c r="F166" s="30">
        <v>2</v>
      </c>
      <c r="G166" s="15">
        <v>5</v>
      </c>
      <c r="H166" s="16">
        <f t="shared" si="2"/>
        <v>0.2</v>
      </c>
      <c r="I166" s="8"/>
      <c r="J166" s="8"/>
      <c r="K166" s="8"/>
      <c r="L166" s="10"/>
    </row>
    <row r="167" spans="1:12">
      <c r="A167" s="7"/>
      <c r="B167" s="15">
        <v>21</v>
      </c>
      <c r="C167" s="15">
        <v>25</v>
      </c>
      <c r="D167" s="15">
        <v>0.2</v>
      </c>
      <c r="E167" s="15">
        <v>1</v>
      </c>
      <c r="F167" s="30">
        <v>0</v>
      </c>
      <c r="G167" s="15">
        <v>1</v>
      </c>
      <c r="H167" s="16">
        <f t="shared" si="2"/>
        <v>1</v>
      </c>
      <c r="I167" s="8"/>
      <c r="J167" s="8"/>
      <c r="K167" s="8"/>
      <c r="L167" s="10"/>
    </row>
    <row r="168" spans="1:12">
      <c r="A168" s="7"/>
      <c r="B168" s="15">
        <v>21</v>
      </c>
      <c r="C168" s="15">
        <v>25</v>
      </c>
      <c r="D168" s="15">
        <v>0.1</v>
      </c>
      <c r="E168" s="15">
        <v>3</v>
      </c>
      <c r="F168" s="30">
        <v>1</v>
      </c>
      <c r="G168" s="15">
        <v>4</v>
      </c>
      <c r="H168" s="16">
        <f t="shared" si="2"/>
        <v>0.25</v>
      </c>
      <c r="I168" s="8"/>
      <c r="J168" s="8"/>
      <c r="K168" s="8"/>
      <c r="L168" s="10"/>
    </row>
    <row r="169" spans="1:12">
      <c r="A169" s="7"/>
      <c r="B169" s="15">
        <v>21</v>
      </c>
      <c r="C169" s="15">
        <v>25</v>
      </c>
      <c r="D169" s="15">
        <v>0.1</v>
      </c>
      <c r="E169" s="15">
        <v>4</v>
      </c>
      <c r="F169" s="30">
        <v>0</v>
      </c>
      <c r="G169" s="15">
        <v>4</v>
      </c>
      <c r="H169" s="16">
        <f t="shared" si="2"/>
        <v>0.25</v>
      </c>
      <c r="I169" s="8"/>
      <c r="J169" s="8"/>
      <c r="K169" s="8"/>
      <c r="L169" s="10"/>
    </row>
    <row r="170" spans="1:12">
      <c r="A170" s="11"/>
      <c r="B170" s="19">
        <v>21</v>
      </c>
      <c r="C170" s="19">
        <v>25</v>
      </c>
      <c r="D170" s="19">
        <v>0.2</v>
      </c>
      <c r="E170" s="19">
        <v>0</v>
      </c>
      <c r="F170" s="32">
        <v>1</v>
      </c>
      <c r="G170" s="19">
        <v>1</v>
      </c>
      <c r="H170" s="20">
        <f t="shared" si="2"/>
        <v>1</v>
      </c>
      <c r="I170" s="12"/>
      <c r="J170" s="12"/>
      <c r="K170" s="12">
        <f>SUM(G159:G170)</f>
        <v>26</v>
      </c>
      <c r="L170" s="14">
        <f>SUM(E159:E170)</f>
        <v>16</v>
      </c>
    </row>
    <row r="171" spans="1:12">
      <c r="A171" s="3" t="s">
        <v>40</v>
      </c>
      <c r="B171" s="17">
        <v>22</v>
      </c>
      <c r="C171" s="17">
        <v>25</v>
      </c>
      <c r="D171" s="17">
        <v>0.1</v>
      </c>
      <c r="E171" s="17">
        <v>0</v>
      </c>
      <c r="F171" s="31">
        <v>1</v>
      </c>
      <c r="G171" s="17">
        <v>1</v>
      </c>
      <c r="H171" s="18">
        <f t="shared" si="2"/>
        <v>1</v>
      </c>
      <c r="I171" s="5">
        <f>9/17</f>
        <v>0.52941176470588236</v>
      </c>
      <c r="J171" s="5">
        <f>10/17</f>
        <v>0.58823529411764708</v>
      </c>
      <c r="K171" s="4">
        <v>43</v>
      </c>
      <c r="L171" s="6">
        <v>25</v>
      </c>
    </row>
    <row r="172" spans="1:12">
      <c r="A172" s="7" t="s">
        <v>12</v>
      </c>
      <c r="B172" s="15">
        <v>22</v>
      </c>
      <c r="C172" s="15">
        <v>25</v>
      </c>
      <c r="D172" s="15">
        <v>0.1</v>
      </c>
      <c r="E172" s="15">
        <v>1</v>
      </c>
      <c r="F172" s="30">
        <v>0</v>
      </c>
      <c r="G172" s="15">
        <v>1</v>
      </c>
      <c r="H172" s="16">
        <f t="shared" si="2"/>
        <v>1</v>
      </c>
      <c r="I172" s="8"/>
      <c r="J172" s="8"/>
      <c r="K172" s="8"/>
      <c r="L172" s="10"/>
    </row>
    <row r="173" spans="1:12">
      <c r="A173" s="7"/>
      <c r="B173" s="15">
        <v>22</v>
      </c>
      <c r="C173" s="15">
        <v>25</v>
      </c>
      <c r="D173" s="15">
        <v>0.1</v>
      </c>
      <c r="E173" s="15">
        <v>2</v>
      </c>
      <c r="F173" s="30">
        <v>1</v>
      </c>
      <c r="G173" s="15">
        <v>3</v>
      </c>
      <c r="H173" s="16">
        <f t="shared" si="2"/>
        <v>0.33333333333333331</v>
      </c>
      <c r="I173" s="8"/>
      <c r="J173" s="8"/>
      <c r="K173" s="8"/>
      <c r="L173" s="10"/>
    </row>
    <row r="174" spans="1:12">
      <c r="A174" s="7"/>
      <c r="B174" s="15">
        <v>22</v>
      </c>
      <c r="C174" s="15">
        <v>25</v>
      </c>
      <c r="D174" s="15">
        <v>0.1</v>
      </c>
      <c r="E174" s="15">
        <v>2</v>
      </c>
      <c r="F174" s="30">
        <v>1</v>
      </c>
      <c r="G174" s="15">
        <v>3</v>
      </c>
      <c r="H174" s="16">
        <f t="shared" si="2"/>
        <v>0.33333333333333331</v>
      </c>
      <c r="I174" s="8"/>
      <c r="J174" s="8"/>
      <c r="K174" s="8"/>
      <c r="L174" s="10"/>
    </row>
    <row r="175" spans="1:12">
      <c r="A175" s="7"/>
      <c r="B175" s="15">
        <v>22</v>
      </c>
      <c r="C175" s="15">
        <v>25</v>
      </c>
      <c r="D175" s="15">
        <v>0.1</v>
      </c>
      <c r="E175" s="15">
        <v>2</v>
      </c>
      <c r="F175" s="30">
        <v>2</v>
      </c>
      <c r="G175" s="15">
        <v>4</v>
      </c>
      <c r="H175" s="16">
        <f t="shared" si="2"/>
        <v>0.25</v>
      </c>
      <c r="I175" s="8"/>
      <c r="J175" s="8"/>
      <c r="K175" s="8"/>
      <c r="L175" s="10"/>
    </row>
    <row r="176" spans="1:12">
      <c r="A176" s="7"/>
      <c r="B176" s="15">
        <v>22</v>
      </c>
      <c r="C176" s="15">
        <v>25</v>
      </c>
      <c r="D176" s="15">
        <v>0.2</v>
      </c>
      <c r="E176" s="15">
        <v>0</v>
      </c>
      <c r="F176" s="30">
        <v>1</v>
      </c>
      <c r="G176" s="15">
        <v>1</v>
      </c>
      <c r="H176" s="16">
        <f t="shared" si="2"/>
        <v>1</v>
      </c>
      <c r="I176" s="8"/>
      <c r="J176" s="8"/>
      <c r="K176" s="8"/>
      <c r="L176" s="10"/>
    </row>
    <row r="177" spans="1:12">
      <c r="A177" s="7"/>
      <c r="B177" s="15">
        <v>22</v>
      </c>
      <c r="C177" s="15">
        <v>25</v>
      </c>
      <c r="D177" s="15">
        <v>0.1</v>
      </c>
      <c r="E177" s="15">
        <v>1</v>
      </c>
      <c r="F177" s="30">
        <v>0</v>
      </c>
      <c r="G177" s="15">
        <v>1</v>
      </c>
      <c r="H177" s="16">
        <f t="shared" si="2"/>
        <v>1</v>
      </c>
      <c r="I177" s="8"/>
      <c r="J177" s="8"/>
      <c r="K177" s="8"/>
      <c r="L177" s="10"/>
    </row>
    <row r="178" spans="1:12">
      <c r="A178" s="7"/>
      <c r="B178" s="15">
        <v>22</v>
      </c>
      <c r="C178" s="15">
        <v>25</v>
      </c>
      <c r="D178" s="15">
        <v>0.1</v>
      </c>
      <c r="E178" s="15">
        <v>1</v>
      </c>
      <c r="F178" s="30">
        <v>0</v>
      </c>
      <c r="G178" s="15">
        <v>1</v>
      </c>
      <c r="H178" s="16">
        <f t="shared" si="2"/>
        <v>1</v>
      </c>
      <c r="I178" s="8"/>
      <c r="J178" s="8"/>
      <c r="K178" s="8"/>
      <c r="L178" s="10"/>
    </row>
    <row r="179" spans="1:12">
      <c r="A179" s="11"/>
      <c r="B179" s="19">
        <v>22</v>
      </c>
      <c r="C179" s="19">
        <v>25</v>
      </c>
      <c r="D179" s="19">
        <v>0.1</v>
      </c>
      <c r="E179" s="19">
        <v>0</v>
      </c>
      <c r="F179" s="32">
        <v>2</v>
      </c>
      <c r="G179" s="19">
        <v>2</v>
      </c>
      <c r="H179" s="20">
        <f t="shared" si="2"/>
        <v>0.5</v>
      </c>
      <c r="I179" s="12"/>
      <c r="J179" s="12"/>
      <c r="K179" s="12">
        <f>SUM(G159:G179)</f>
        <v>43</v>
      </c>
      <c r="L179" s="14">
        <f>SUM(E159:E179)</f>
        <v>25</v>
      </c>
    </row>
    <row r="180" spans="1:12">
      <c r="A180" s="3" t="s">
        <v>40</v>
      </c>
      <c r="B180" s="17">
        <v>23</v>
      </c>
      <c r="C180" s="17">
        <v>25</v>
      </c>
      <c r="D180" s="17">
        <v>0.1</v>
      </c>
      <c r="E180" s="17">
        <v>4</v>
      </c>
      <c r="F180" s="31">
        <v>4</v>
      </c>
      <c r="G180" s="17">
        <v>8</v>
      </c>
      <c r="H180" s="18">
        <f t="shared" si="2"/>
        <v>0.125</v>
      </c>
      <c r="I180" s="5">
        <f>8/43</f>
        <v>0.18604651162790697</v>
      </c>
      <c r="J180" s="5">
        <f>10/43</f>
        <v>0.23255813953488372</v>
      </c>
      <c r="K180" s="4">
        <v>86</v>
      </c>
      <c r="L180" s="6">
        <v>55</v>
      </c>
    </row>
    <row r="181" spans="1:12">
      <c r="A181" s="7" t="s">
        <v>13</v>
      </c>
      <c r="B181" s="15">
        <v>23</v>
      </c>
      <c r="C181" s="15">
        <v>25</v>
      </c>
      <c r="D181" s="15">
        <v>0.1</v>
      </c>
      <c r="E181" s="15">
        <v>1</v>
      </c>
      <c r="F181" s="30">
        <v>0</v>
      </c>
      <c r="G181" s="15">
        <v>1</v>
      </c>
      <c r="H181" s="16">
        <f t="shared" si="2"/>
        <v>1</v>
      </c>
      <c r="I181" s="8"/>
      <c r="J181" s="8"/>
      <c r="K181" s="8"/>
      <c r="L181" s="10"/>
    </row>
    <row r="182" spans="1:12">
      <c r="A182" s="7"/>
      <c r="B182" s="15">
        <v>23</v>
      </c>
      <c r="C182" s="15">
        <v>25</v>
      </c>
      <c r="D182" s="15">
        <v>0.1</v>
      </c>
      <c r="E182" s="15">
        <v>4</v>
      </c>
      <c r="F182" s="30">
        <v>1</v>
      </c>
      <c r="G182" s="15">
        <v>5</v>
      </c>
      <c r="H182" s="16">
        <f t="shared" si="2"/>
        <v>0.2</v>
      </c>
      <c r="I182" s="8"/>
      <c r="J182" s="8"/>
      <c r="K182" s="8"/>
      <c r="L182" s="10"/>
    </row>
    <row r="183" spans="1:12">
      <c r="A183" s="7"/>
      <c r="B183" s="15">
        <v>23</v>
      </c>
      <c r="C183" s="15">
        <v>25</v>
      </c>
      <c r="D183" s="15">
        <v>0.1</v>
      </c>
      <c r="E183" s="15">
        <v>2</v>
      </c>
      <c r="F183" s="30">
        <v>1</v>
      </c>
      <c r="G183" s="15">
        <v>3</v>
      </c>
      <c r="H183" s="16">
        <f t="shared" si="2"/>
        <v>0.33333333333333331</v>
      </c>
      <c r="I183" s="8"/>
      <c r="J183" s="8"/>
      <c r="K183" s="8"/>
      <c r="L183" s="10"/>
    </row>
    <row r="184" spans="1:12">
      <c r="A184" s="7"/>
      <c r="B184" s="15">
        <v>23</v>
      </c>
      <c r="C184" s="15">
        <v>25</v>
      </c>
      <c r="D184" s="15">
        <v>0.1</v>
      </c>
      <c r="E184" s="15">
        <v>1</v>
      </c>
      <c r="F184" s="30">
        <v>1</v>
      </c>
      <c r="G184" s="15">
        <v>2</v>
      </c>
      <c r="H184" s="16">
        <f t="shared" si="2"/>
        <v>0.5</v>
      </c>
      <c r="I184" s="8"/>
      <c r="J184" s="8"/>
      <c r="K184" s="8"/>
      <c r="L184" s="10"/>
    </row>
    <row r="185" spans="1:12">
      <c r="A185" s="7"/>
      <c r="B185" s="15">
        <v>23</v>
      </c>
      <c r="C185" s="15">
        <v>25</v>
      </c>
      <c r="D185" s="15">
        <v>0.1</v>
      </c>
      <c r="E185" s="15">
        <v>9</v>
      </c>
      <c r="F185" s="30">
        <v>2</v>
      </c>
      <c r="G185" s="15">
        <v>11</v>
      </c>
      <c r="H185" s="16">
        <f t="shared" si="2"/>
        <v>9.0909090909090912E-2</v>
      </c>
      <c r="I185" s="8"/>
      <c r="J185" s="8"/>
      <c r="K185" s="8"/>
      <c r="L185" s="10"/>
    </row>
    <row r="186" spans="1:12">
      <c r="A186" s="7"/>
      <c r="B186" s="15">
        <v>23</v>
      </c>
      <c r="C186" s="15">
        <v>25</v>
      </c>
      <c r="D186" s="15">
        <v>0.2</v>
      </c>
      <c r="E186" s="15">
        <v>3</v>
      </c>
      <c r="F186" s="30">
        <v>3</v>
      </c>
      <c r="G186" s="15">
        <v>6</v>
      </c>
      <c r="H186" s="16">
        <f t="shared" si="2"/>
        <v>0.16666666666666666</v>
      </c>
      <c r="I186" s="8"/>
      <c r="J186" s="8"/>
      <c r="K186" s="8"/>
      <c r="L186" s="10"/>
    </row>
    <row r="187" spans="1:12">
      <c r="A187" s="11"/>
      <c r="B187" s="19">
        <v>23</v>
      </c>
      <c r="C187" s="19">
        <v>25</v>
      </c>
      <c r="D187" s="19">
        <v>0.2</v>
      </c>
      <c r="E187" s="19">
        <v>6</v>
      </c>
      <c r="F187" s="32">
        <v>1</v>
      </c>
      <c r="G187" s="19">
        <v>7</v>
      </c>
      <c r="H187" s="20">
        <f t="shared" si="2"/>
        <v>0.14285714285714285</v>
      </c>
      <c r="I187" s="12"/>
      <c r="J187" s="12"/>
      <c r="K187" s="12">
        <f>SUM(G159:G187)</f>
        <v>86</v>
      </c>
      <c r="L187" s="14">
        <f>SUM(E159:E187)</f>
        <v>55</v>
      </c>
    </row>
    <row r="188" spans="1:12">
      <c r="A188" s="3" t="s">
        <v>40</v>
      </c>
      <c r="B188" s="17">
        <v>24</v>
      </c>
      <c r="C188" s="17">
        <v>25</v>
      </c>
      <c r="D188" s="17">
        <v>0.1</v>
      </c>
      <c r="E188" s="17">
        <v>2</v>
      </c>
      <c r="F188" s="31">
        <v>1</v>
      </c>
      <c r="G188" s="17">
        <v>3</v>
      </c>
      <c r="H188" s="18">
        <f t="shared" si="2"/>
        <v>0.33333333333333331</v>
      </c>
      <c r="I188" s="5">
        <f>8/58</f>
        <v>0.13793103448275862</v>
      </c>
      <c r="J188" s="5">
        <f>10/58</f>
        <v>0.17241379310344829</v>
      </c>
      <c r="K188" s="4">
        <v>144</v>
      </c>
      <c r="L188" s="6">
        <v>104</v>
      </c>
    </row>
    <row r="189" spans="1:12">
      <c r="A189" s="7" t="s">
        <v>14</v>
      </c>
      <c r="B189" s="15">
        <v>24</v>
      </c>
      <c r="C189" s="15">
        <v>25</v>
      </c>
      <c r="D189" s="15">
        <v>0.1</v>
      </c>
      <c r="E189" s="15">
        <v>6</v>
      </c>
      <c r="F189" s="30">
        <v>1</v>
      </c>
      <c r="G189" s="15">
        <v>7</v>
      </c>
      <c r="H189" s="16">
        <f t="shared" si="2"/>
        <v>0.14285714285714285</v>
      </c>
      <c r="I189" s="8"/>
      <c r="J189" s="8"/>
      <c r="K189" s="8"/>
      <c r="L189" s="10"/>
    </row>
    <row r="190" spans="1:12">
      <c r="A190" s="7"/>
      <c r="B190" s="15">
        <v>24</v>
      </c>
      <c r="C190" s="15">
        <v>25</v>
      </c>
      <c r="D190" s="15">
        <v>0.2</v>
      </c>
      <c r="E190" s="15">
        <v>14</v>
      </c>
      <c r="F190" s="30">
        <v>0</v>
      </c>
      <c r="G190" s="15">
        <v>14</v>
      </c>
      <c r="H190" s="16">
        <f t="shared" si="2"/>
        <v>7.1428571428571425E-2</v>
      </c>
      <c r="I190" s="8"/>
      <c r="J190" s="8"/>
      <c r="K190" s="8"/>
      <c r="L190" s="10"/>
    </row>
    <row r="191" spans="1:12">
      <c r="A191" s="7"/>
      <c r="B191" s="15">
        <v>24</v>
      </c>
      <c r="C191" s="15">
        <v>25</v>
      </c>
      <c r="D191" s="15">
        <v>0.2</v>
      </c>
      <c r="E191" s="15">
        <v>2</v>
      </c>
      <c r="F191" s="30">
        <v>1</v>
      </c>
      <c r="G191" s="15">
        <v>3</v>
      </c>
      <c r="H191" s="16">
        <f t="shared" si="2"/>
        <v>0.33333333333333331</v>
      </c>
      <c r="I191" s="8"/>
      <c r="J191" s="8"/>
      <c r="K191" s="8"/>
      <c r="L191" s="10"/>
    </row>
    <row r="192" spans="1:12">
      <c r="A192" s="7"/>
      <c r="B192" s="15">
        <v>24</v>
      </c>
      <c r="C192" s="15">
        <v>25</v>
      </c>
      <c r="D192" s="15">
        <v>0.1</v>
      </c>
      <c r="E192" s="15">
        <v>7</v>
      </c>
      <c r="F192" s="30">
        <v>3</v>
      </c>
      <c r="G192" s="15">
        <v>10</v>
      </c>
      <c r="H192" s="16">
        <f t="shared" si="2"/>
        <v>0.1</v>
      </c>
      <c r="I192" s="8"/>
      <c r="J192" s="8"/>
      <c r="K192" s="8"/>
      <c r="L192" s="10"/>
    </row>
    <row r="193" spans="1:12">
      <c r="A193" s="7"/>
      <c r="B193" s="15">
        <v>24</v>
      </c>
      <c r="C193" s="15">
        <v>25</v>
      </c>
      <c r="D193" s="15">
        <v>0.1</v>
      </c>
      <c r="E193" s="15">
        <v>3</v>
      </c>
      <c r="F193" s="30">
        <v>0</v>
      </c>
      <c r="G193" s="15">
        <v>3</v>
      </c>
      <c r="H193" s="16">
        <f t="shared" si="2"/>
        <v>0.33333333333333331</v>
      </c>
      <c r="I193" s="8"/>
      <c r="J193" s="8"/>
      <c r="K193" s="8"/>
      <c r="L193" s="10"/>
    </row>
    <row r="194" spans="1:12">
      <c r="A194" s="7"/>
      <c r="B194" s="15">
        <v>24</v>
      </c>
      <c r="C194" s="15">
        <v>25</v>
      </c>
      <c r="D194" s="15">
        <v>0.1</v>
      </c>
      <c r="E194" s="15">
        <v>7</v>
      </c>
      <c r="F194" s="30">
        <v>1</v>
      </c>
      <c r="G194" s="15">
        <v>8</v>
      </c>
      <c r="H194" s="16">
        <f t="shared" ref="H194:H257" si="3">1/G194</f>
        <v>0.125</v>
      </c>
      <c r="I194" s="8"/>
      <c r="J194" s="8"/>
      <c r="K194" s="8"/>
      <c r="L194" s="10"/>
    </row>
    <row r="195" spans="1:12">
      <c r="A195" s="11"/>
      <c r="B195" s="19">
        <v>24</v>
      </c>
      <c r="C195" s="19">
        <v>25</v>
      </c>
      <c r="D195" s="19">
        <v>0.1</v>
      </c>
      <c r="E195" s="19">
        <v>8</v>
      </c>
      <c r="F195" s="32">
        <v>2</v>
      </c>
      <c r="G195" s="19">
        <v>10</v>
      </c>
      <c r="H195" s="20">
        <f t="shared" si="3"/>
        <v>0.1</v>
      </c>
      <c r="I195" s="12"/>
      <c r="J195" s="12"/>
      <c r="K195" s="12">
        <f>SUM(G159:G195)</f>
        <v>144</v>
      </c>
      <c r="L195" s="14">
        <f>SUM(E159:E195)</f>
        <v>104</v>
      </c>
    </row>
    <row r="196" spans="1:12">
      <c r="A196" s="3" t="s">
        <v>43</v>
      </c>
      <c r="B196" s="17">
        <v>25</v>
      </c>
      <c r="C196" s="17">
        <v>29</v>
      </c>
      <c r="D196" s="17">
        <v>0.2</v>
      </c>
      <c r="E196" s="17">
        <v>0</v>
      </c>
      <c r="F196" s="31">
        <v>3</v>
      </c>
      <c r="G196" s="17">
        <v>3</v>
      </c>
      <c r="H196" s="18">
        <f t="shared" si="3"/>
        <v>0.33333333333333331</v>
      </c>
      <c r="I196" s="5">
        <f>6/16</f>
        <v>0.375</v>
      </c>
      <c r="J196" s="5">
        <f>10/16</f>
        <v>0.625</v>
      </c>
      <c r="K196" s="4">
        <v>16</v>
      </c>
      <c r="L196" s="6">
        <v>7</v>
      </c>
    </row>
    <row r="197" spans="1:12">
      <c r="A197" s="7" t="s">
        <v>18</v>
      </c>
      <c r="B197" s="15">
        <v>25</v>
      </c>
      <c r="C197" s="15">
        <v>29</v>
      </c>
      <c r="D197" s="15">
        <v>0.2</v>
      </c>
      <c r="E197" s="15">
        <v>1</v>
      </c>
      <c r="F197" s="30">
        <v>2</v>
      </c>
      <c r="G197" s="15">
        <v>3</v>
      </c>
      <c r="H197" s="16">
        <f t="shared" si="3"/>
        <v>0.33333333333333331</v>
      </c>
      <c r="I197" s="8"/>
      <c r="J197" s="8"/>
      <c r="K197" s="8"/>
      <c r="L197" s="10"/>
    </row>
    <row r="198" spans="1:12">
      <c r="A198" s="7"/>
      <c r="B198" s="15">
        <v>25</v>
      </c>
      <c r="C198" s="15">
        <v>29</v>
      </c>
      <c r="D198" s="15">
        <v>0.1</v>
      </c>
      <c r="E198" s="15">
        <v>1</v>
      </c>
      <c r="F198" s="30">
        <v>0</v>
      </c>
      <c r="G198" s="15">
        <v>1</v>
      </c>
      <c r="H198" s="16">
        <f t="shared" si="3"/>
        <v>1</v>
      </c>
      <c r="I198" s="8"/>
      <c r="J198" s="8"/>
      <c r="K198" s="8"/>
      <c r="L198" s="10"/>
    </row>
    <row r="199" spans="1:12">
      <c r="A199" s="7"/>
      <c r="B199" s="15">
        <v>25</v>
      </c>
      <c r="C199" s="15">
        <v>29</v>
      </c>
      <c r="D199" s="15">
        <v>0.2</v>
      </c>
      <c r="E199" s="15">
        <v>1</v>
      </c>
      <c r="F199" s="30">
        <v>0</v>
      </c>
      <c r="G199" s="15">
        <v>1</v>
      </c>
      <c r="H199" s="16">
        <f t="shared" si="3"/>
        <v>1</v>
      </c>
      <c r="I199" s="8"/>
      <c r="J199" s="8"/>
      <c r="K199" s="8"/>
      <c r="L199" s="10"/>
    </row>
    <row r="200" spans="1:12">
      <c r="A200" s="7"/>
      <c r="B200" s="15">
        <v>25</v>
      </c>
      <c r="C200" s="15">
        <v>29</v>
      </c>
      <c r="D200" s="15">
        <v>0.2</v>
      </c>
      <c r="E200" s="15">
        <v>2</v>
      </c>
      <c r="F200" s="30">
        <v>1</v>
      </c>
      <c r="G200" s="15">
        <v>3</v>
      </c>
      <c r="H200" s="16">
        <f t="shared" si="3"/>
        <v>0.33333333333333331</v>
      </c>
      <c r="I200" s="8"/>
      <c r="J200" s="8"/>
      <c r="K200" s="8"/>
      <c r="L200" s="10"/>
    </row>
    <row r="201" spans="1:12">
      <c r="A201" s="11"/>
      <c r="B201" s="19">
        <v>25</v>
      </c>
      <c r="C201" s="19">
        <v>29</v>
      </c>
      <c r="D201" s="19">
        <v>0.1</v>
      </c>
      <c r="E201" s="19">
        <v>2</v>
      </c>
      <c r="F201" s="32">
        <v>3</v>
      </c>
      <c r="G201" s="19">
        <v>5</v>
      </c>
      <c r="H201" s="20">
        <f t="shared" si="3"/>
        <v>0.2</v>
      </c>
      <c r="I201" s="12"/>
      <c r="J201" s="12"/>
      <c r="K201" s="12">
        <f>SUM(G196:G201)</f>
        <v>16</v>
      </c>
      <c r="L201" s="14">
        <f>SUM(E196:E201)</f>
        <v>7</v>
      </c>
    </row>
    <row r="202" spans="1:12">
      <c r="A202" s="3" t="s">
        <v>43</v>
      </c>
      <c r="B202" s="17">
        <v>26</v>
      </c>
      <c r="C202" s="17">
        <v>29</v>
      </c>
      <c r="D202" s="17">
        <v>0.1</v>
      </c>
      <c r="E202" s="17">
        <v>1</v>
      </c>
      <c r="F202" s="31">
        <v>1</v>
      </c>
      <c r="G202" s="17">
        <v>2</v>
      </c>
      <c r="H202" s="18">
        <f t="shared" si="3"/>
        <v>0.5</v>
      </c>
      <c r="I202" s="5">
        <f>9/19</f>
        <v>0.47368421052631576</v>
      </c>
      <c r="J202" s="5">
        <f>10/19</f>
        <v>0.52631578947368418</v>
      </c>
      <c r="K202" s="4">
        <v>35</v>
      </c>
      <c r="L202" s="6">
        <v>21</v>
      </c>
    </row>
    <row r="203" spans="1:12">
      <c r="A203" s="7" t="s">
        <v>12</v>
      </c>
      <c r="B203" s="15">
        <v>26</v>
      </c>
      <c r="C203" s="15">
        <v>29</v>
      </c>
      <c r="D203" s="15">
        <v>0.1</v>
      </c>
      <c r="E203" s="15">
        <v>1</v>
      </c>
      <c r="F203" s="30">
        <v>0</v>
      </c>
      <c r="G203" s="15">
        <v>1</v>
      </c>
      <c r="H203" s="16">
        <f t="shared" si="3"/>
        <v>1</v>
      </c>
      <c r="I203" s="8"/>
      <c r="J203" s="8"/>
      <c r="K203" s="8"/>
      <c r="L203" s="10"/>
    </row>
    <row r="204" spans="1:12">
      <c r="A204" s="7"/>
      <c r="B204" s="15">
        <v>26</v>
      </c>
      <c r="C204" s="15">
        <v>29</v>
      </c>
      <c r="D204" s="15">
        <v>0.1</v>
      </c>
      <c r="E204" s="15">
        <v>1</v>
      </c>
      <c r="F204" s="30">
        <v>0</v>
      </c>
      <c r="G204" s="15">
        <v>1</v>
      </c>
      <c r="H204" s="16">
        <f t="shared" si="3"/>
        <v>1</v>
      </c>
      <c r="I204" s="8"/>
      <c r="J204" s="8"/>
      <c r="K204" s="8"/>
      <c r="L204" s="10"/>
    </row>
    <row r="205" spans="1:12">
      <c r="A205" s="7"/>
      <c r="B205" s="15">
        <v>26</v>
      </c>
      <c r="C205" s="15">
        <v>29</v>
      </c>
      <c r="D205" s="15">
        <v>0.1</v>
      </c>
      <c r="E205" s="15">
        <v>1</v>
      </c>
      <c r="F205" s="30">
        <v>3</v>
      </c>
      <c r="G205" s="15">
        <v>4</v>
      </c>
      <c r="H205" s="16">
        <f t="shared" si="3"/>
        <v>0.25</v>
      </c>
      <c r="I205" s="8"/>
      <c r="J205" s="8"/>
      <c r="K205" s="8"/>
      <c r="L205" s="10"/>
    </row>
    <row r="206" spans="1:12">
      <c r="A206" s="7"/>
      <c r="B206" s="15">
        <v>26</v>
      </c>
      <c r="C206" s="15">
        <v>29</v>
      </c>
      <c r="D206" s="15">
        <v>0.1</v>
      </c>
      <c r="E206" s="15">
        <v>3</v>
      </c>
      <c r="F206" s="30">
        <v>0</v>
      </c>
      <c r="G206" s="15">
        <v>3</v>
      </c>
      <c r="H206" s="16">
        <f t="shared" si="3"/>
        <v>0.33333333333333331</v>
      </c>
      <c r="I206" s="8"/>
      <c r="J206" s="8"/>
      <c r="K206" s="8"/>
      <c r="L206" s="10"/>
    </row>
    <row r="207" spans="1:12">
      <c r="A207" s="7"/>
      <c r="B207" s="15">
        <v>26</v>
      </c>
      <c r="C207" s="15">
        <v>29</v>
      </c>
      <c r="D207" s="15">
        <v>0.1</v>
      </c>
      <c r="E207" s="15">
        <v>2</v>
      </c>
      <c r="F207" s="30">
        <v>0</v>
      </c>
      <c r="G207" s="15">
        <v>2</v>
      </c>
      <c r="H207" s="16">
        <f t="shared" si="3"/>
        <v>0.5</v>
      </c>
      <c r="I207" s="8"/>
      <c r="J207" s="8"/>
      <c r="K207" s="8"/>
      <c r="L207" s="10"/>
    </row>
    <row r="208" spans="1:12">
      <c r="A208" s="7"/>
      <c r="B208" s="15">
        <v>26</v>
      </c>
      <c r="C208" s="15">
        <v>29</v>
      </c>
      <c r="D208" s="15">
        <v>0.2</v>
      </c>
      <c r="E208" s="15">
        <v>3</v>
      </c>
      <c r="F208" s="30">
        <v>1</v>
      </c>
      <c r="G208" s="15">
        <v>4</v>
      </c>
      <c r="H208" s="16">
        <f t="shared" si="3"/>
        <v>0.25</v>
      </c>
      <c r="I208" s="8"/>
      <c r="J208" s="8"/>
      <c r="K208" s="8"/>
      <c r="L208" s="10"/>
    </row>
    <row r="209" spans="1:12">
      <c r="A209" s="7"/>
      <c r="B209" s="15">
        <v>26</v>
      </c>
      <c r="C209" s="15">
        <v>29</v>
      </c>
      <c r="D209" s="15">
        <v>0.1</v>
      </c>
      <c r="E209" s="15">
        <v>1</v>
      </c>
      <c r="F209" s="30">
        <v>0</v>
      </c>
      <c r="G209" s="15">
        <v>1</v>
      </c>
      <c r="H209" s="16">
        <f t="shared" si="3"/>
        <v>1</v>
      </c>
      <c r="I209" s="8"/>
      <c r="J209" s="8"/>
      <c r="K209" s="8"/>
      <c r="L209" s="10"/>
    </row>
    <row r="210" spans="1:12">
      <c r="A210" s="11"/>
      <c r="B210" s="19">
        <v>26</v>
      </c>
      <c r="C210" s="19">
        <v>29</v>
      </c>
      <c r="D210" s="19">
        <v>0.1</v>
      </c>
      <c r="E210" s="19">
        <v>1</v>
      </c>
      <c r="F210" s="32">
        <v>0</v>
      </c>
      <c r="G210" s="19">
        <v>1</v>
      </c>
      <c r="H210" s="20">
        <f t="shared" si="3"/>
        <v>1</v>
      </c>
      <c r="I210" s="12"/>
      <c r="J210" s="12"/>
      <c r="K210" s="12">
        <f>SUM(G196:G210)</f>
        <v>35</v>
      </c>
      <c r="L210" s="14">
        <f>SUM(E196:E210)</f>
        <v>21</v>
      </c>
    </row>
    <row r="211" spans="1:12">
      <c r="A211" s="3" t="s">
        <v>43</v>
      </c>
      <c r="B211" s="17">
        <v>27</v>
      </c>
      <c r="C211" s="17">
        <v>29</v>
      </c>
      <c r="D211" s="17">
        <v>0.2</v>
      </c>
      <c r="E211" s="17">
        <v>2</v>
      </c>
      <c r="F211" s="31">
        <v>1</v>
      </c>
      <c r="G211" s="17">
        <v>3</v>
      </c>
      <c r="H211" s="18">
        <f t="shared" si="3"/>
        <v>0.33333333333333331</v>
      </c>
      <c r="I211" s="5">
        <f>8/20</f>
        <v>0.4</v>
      </c>
      <c r="J211" s="5">
        <f>10/20</f>
        <v>0.5</v>
      </c>
      <c r="K211" s="4">
        <v>55</v>
      </c>
      <c r="L211" s="6">
        <v>35</v>
      </c>
    </row>
    <row r="212" spans="1:12">
      <c r="A212" s="7" t="s">
        <v>13</v>
      </c>
      <c r="B212" s="15">
        <v>27</v>
      </c>
      <c r="C212" s="15">
        <v>29</v>
      </c>
      <c r="D212" s="15">
        <v>0.1</v>
      </c>
      <c r="E212" s="15">
        <v>1</v>
      </c>
      <c r="F212" s="30">
        <v>0</v>
      </c>
      <c r="G212" s="15">
        <v>1</v>
      </c>
      <c r="H212" s="16">
        <f t="shared" si="3"/>
        <v>1</v>
      </c>
      <c r="I212" s="8"/>
      <c r="J212" s="8"/>
      <c r="K212" s="8"/>
      <c r="L212" s="10"/>
    </row>
    <row r="213" spans="1:12">
      <c r="A213" s="7"/>
      <c r="B213" s="15">
        <v>27</v>
      </c>
      <c r="C213" s="15">
        <v>29</v>
      </c>
      <c r="D213" s="15">
        <v>0.1</v>
      </c>
      <c r="E213" s="15">
        <v>4</v>
      </c>
      <c r="F213" s="30">
        <v>3</v>
      </c>
      <c r="G213" s="15">
        <v>7</v>
      </c>
      <c r="H213" s="16">
        <f t="shared" si="3"/>
        <v>0.14285714285714285</v>
      </c>
      <c r="I213" s="8"/>
      <c r="J213" s="8"/>
      <c r="K213" s="8"/>
      <c r="L213" s="10"/>
    </row>
    <row r="214" spans="1:12">
      <c r="A214" s="7"/>
      <c r="B214" s="15">
        <v>27</v>
      </c>
      <c r="C214" s="15">
        <v>29</v>
      </c>
      <c r="D214" s="15">
        <v>0.1</v>
      </c>
      <c r="E214" s="15">
        <v>2</v>
      </c>
      <c r="F214" s="30">
        <v>1</v>
      </c>
      <c r="G214" s="15">
        <v>3</v>
      </c>
      <c r="H214" s="16">
        <f t="shared" si="3"/>
        <v>0.33333333333333331</v>
      </c>
      <c r="I214" s="8"/>
      <c r="J214" s="8"/>
      <c r="K214" s="8"/>
      <c r="L214" s="10"/>
    </row>
    <row r="215" spans="1:12">
      <c r="A215" s="7"/>
      <c r="B215" s="15">
        <v>27</v>
      </c>
      <c r="C215" s="15">
        <v>29</v>
      </c>
      <c r="D215" s="15">
        <v>0.1</v>
      </c>
      <c r="E215" s="15">
        <v>2</v>
      </c>
      <c r="F215" s="30">
        <v>1</v>
      </c>
      <c r="G215" s="15">
        <v>3</v>
      </c>
      <c r="H215" s="16">
        <f t="shared" si="3"/>
        <v>0.33333333333333331</v>
      </c>
      <c r="I215" s="8"/>
      <c r="J215" s="8"/>
      <c r="K215" s="8"/>
      <c r="L215" s="10"/>
    </row>
    <row r="216" spans="1:12">
      <c r="A216" s="7"/>
      <c r="B216" s="15">
        <v>27</v>
      </c>
      <c r="C216" s="15">
        <v>29</v>
      </c>
      <c r="D216" s="15">
        <v>0.2</v>
      </c>
      <c r="E216" s="15">
        <v>1</v>
      </c>
      <c r="F216" s="30">
        <v>0</v>
      </c>
      <c r="G216" s="15">
        <v>1</v>
      </c>
      <c r="H216" s="16">
        <f t="shared" si="3"/>
        <v>1</v>
      </c>
      <c r="I216" s="8"/>
      <c r="J216" s="8"/>
      <c r="K216" s="8"/>
      <c r="L216" s="10"/>
    </row>
    <row r="217" spans="1:12">
      <c r="A217" s="7"/>
      <c r="B217" s="15">
        <v>27</v>
      </c>
      <c r="C217" s="15">
        <v>29</v>
      </c>
      <c r="D217" s="15">
        <v>0.1</v>
      </c>
      <c r="E217" s="15">
        <v>1</v>
      </c>
      <c r="F217" s="30">
        <v>0</v>
      </c>
      <c r="G217" s="15">
        <v>1</v>
      </c>
      <c r="H217" s="16">
        <f t="shared" si="3"/>
        <v>1</v>
      </c>
      <c r="I217" s="8"/>
      <c r="J217" s="8"/>
      <c r="K217" s="8"/>
      <c r="L217" s="10"/>
    </row>
    <row r="218" spans="1:12">
      <c r="A218" s="11"/>
      <c r="B218" s="19">
        <v>27</v>
      </c>
      <c r="C218" s="19">
        <v>29</v>
      </c>
      <c r="D218" s="19">
        <v>0.1</v>
      </c>
      <c r="E218" s="19">
        <v>1</v>
      </c>
      <c r="F218" s="32">
        <v>0</v>
      </c>
      <c r="G218" s="19">
        <v>1</v>
      </c>
      <c r="H218" s="20">
        <f t="shared" si="3"/>
        <v>1</v>
      </c>
      <c r="I218" s="12"/>
      <c r="J218" s="12"/>
      <c r="K218" s="12">
        <f>SUM(G196:G218)</f>
        <v>55</v>
      </c>
      <c r="L218" s="14">
        <f>SUM(E196:E218)</f>
        <v>35</v>
      </c>
    </row>
    <row r="219" spans="1:12">
      <c r="A219" s="3" t="s">
        <v>43</v>
      </c>
      <c r="B219" s="17">
        <v>28</v>
      </c>
      <c r="C219" s="17">
        <v>29</v>
      </c>
      <c r="D219" s="17">
        <v>0.1</v>
      </c>
      <c r="E219" s="17">
        <v>8</v>
      </c>
      <c r="F219" s="31">
        <v>0</v>
      </c>
      <c r="G219" s="17">
        <v>8</v>
      </c>
      <c r="H219" s="18">
        <f t="shared" si="3"/>
        <v>0.125</v>
      </c>
      <c r="I219" s="5">
        <f>8/62</f>
        <v>0.12903225806451613</v>
      </c>
      <c r="J219" s="5">
        <f>10/62</f>
        <v>0.16129032258064516</v>
      </c>
      <c r="K219" s="4">
        <v>117</v>
      </c>
      <c r="L219" s="6">
        <v>89</v>
      </c>
    </row>
    <row r="220" spans="1:12">
      <c r="A220" s="7" t="s">
        <v>14</v>
      </c>
      <c r="B220" s="15">
        <v>28</v>
      </c>
      <c r="C220" s="15">
        <v>29</v>
      </c>
      <c r="D220" s="15">
        <v>0.2</v>
      </c>
      <c r="E220" s="15">
        <v>17</v>
      </c>
      <c r="F220" s="30">
        <v>0</v>
      </c>
      <c r="G220" s="15">
        <v>17</v>
      </c>
      <c r="H220" s="16">
        <f t="shared" si="3"/>
        <v>5.8823529411764705E-2</v>
      </c>
      <c r="I220" s="8"/>
      <c r="J220" s="8"/>
      <c r="K220" s="8"/>
      <c r="L220" s="10"/>
    </row>
    <row r="221" spans="1:12">
      <c r="A221" s="7"/>
      <c r="B221" s="15">
        <v>28</v>
      </c>
      <c r="C221" s="15">
        <v>29</v>
      </c>
      <c r="D221" s="15">
        <v>0.1</v>
      </c>
      <c r="E221" s="15">
        <v>4</v>
      </c>
      <c r="F221" s="30">
        <v>1</v>
      </c>
      <c r="G221" s="15">
        <v>5</v>
      </c>
      <c r="H221" s="16">
        <f t="shared" si="3"/>
        <v>0.2</v>
      </c>
      <c r="I221" s="8"/>
      <c r="J221" s="8"/>
      <c r="K221" s="8"/>
      <c r="L221" s="10"/>
    </row>
    <row r="222" spans="1:12">
      <c r="A222" s="7"/>
      <c r="B222" s="15">
        <v>28</v>
      </c>
      <c r="C222" s="15">
        <v>29</v>
      </c>
      <c r="D222" s="15">
        <v>0.1</v>
      </c>
      <c r="E222" s="15">
        <v>7</v>
      </c>
      <c r="F222" s="30">
        <v>3</v>
      </c>
      <c r="G222" s="15">
        <v>10</v>
      </c>
      <c r="H222" s="16">
        <f t="shared" si="3"/>
        <v>0.1</v>
      </c>
      <c r="I222" s="8"/>
      <c r="J222" s="8"/>
      <c r="K222" s="8"/>
      <c r="L222" s="10"/>
    </row>
    <row r="223" spans="1:12">
      <c r="A223" s="7"/>
      <c r="B223" s="15">
        <v>28</v>
      </c>
      <c r="C223" s="15">
        <v>29</v>
      </c>
      <c r="D223" s="15">
        <v>0.1</v>
      </c>
      <c r="E223" s="15">
        <v>5</v>
      </c>
      <c r="F223" s="30">
        <v>0</v>
      </c>
      <c r="G223" s="15">
        <v>5</v>
      </c>
      <c r="H223" s="16">
        <f t="shared" si="3"/>
        <v>0.2</v>
      </c>
      <c r="I223" s="8"/>
      <c r="J223" s="8"/>
      <c r="K223" s="8"/>
      <c r="L223" s="10"/>
    </row>
    <row r="224" spans="1:12">
      <c r="A224" s="7"/>
      <c r="B224" s="15">
        <v>28</v>
      </c>
      <c r="C224" s="15">
        <v>29</v>
      </c>
      <c r="D224" s="15">
        <v>0.2</v>
      </c>
      <c r="E224" s="15">
        <v>3</v>
      </c>
      <c r="F224" s="30">
        <v>1</v>
      </c>
      <c r="G224" s="15">
        <v>4</v>
      </c>
      <c r="H224" s="16">
        <f t="shared" si="3"/>
        <v>0.25</v>
      </c>
      <c r="I224" s="8"/>
      <c r="J224" s="8"/>
      <c r="K224" s="8"/>
      <c r="L224" s="10"/>
    </row>
    <row r="225" spans="1:12">
      <c r="A225" s="7"/>
      <c r="B225" s="15">
        <v>28</v>
      </c>
      <c r="C225" s="15">
        <v>29</v>
      </c>
      <c r="D225" s="15">
        <v>0.1</v>
      </c>
      <c r="E225" s="15">
        <v>1</v>
      </c>
      <c r="F225" s="30">
        <v>1</v>
      </c>
      <c r="G225" s="15">
        <v>2</v>
      </c>
      <c r="H225" s="16">
        <f t="shared" si="3"/>
        <v>0.5</v>
      </c>
      <c r="I225" s="8"/>
      <c r="J225" s="8"/>
      <c r="K225" s="8"/>
      <c r="L225" s="10"/>
    </row>
    <row r="226" spans="1:12">
      <c r="A226" s="11"/>
      <c r="B226" s="19">
        <v>28</v>
      </c>
      <c r="C226" s="19">
        <v>29</v>
      </c>
      <c r="D226" s="19">
        <v>0.1</v>
      </c>
      <c r="E226" s="19">
        <v>9</v>
      </c>
      <c r="F226" s="32">
        <v>2</v>
      </c>
      <c r="G226" s="19">
        <v>11</v>
      </c>
      <c r="H226" s="20">
        <f t="shared" si="3"/>
        <v>9.0909090909090912E-2</v>
      </c>
      <c r="I226" s="12"/>
      <c r="J226" s="12"/>
      <c r="K226" s="12">
        <f>SUM(G196:G226)</f>
        <v>117</v>
      </c>
      <c r="L226" s="14">
        <f>SUM(E196:E226)</f>
        <v>89</v>
      </c>
    </row>
    <row r="227" spans="1:12">
      <c r="A227" s="3" t="s">
        <v>46</v>
      </c>
      <c r="B227" s="17">
        <v>29</v>
      </c>
      <c r="C227" s="17">
        <v>34</v>
      </c>
      <c r="D227" s="17">
        <v>0.1</v>
      </c>
      <c r="E227" s="17">
        <v>1</v>
      </c>
      <c r="F227" s="31">
        <v>0</v>
      </c>
      <c r="G227" s="17">
        <v>1</v>
      </c>
      <c r="H227" s="18">
        <f t="shared" si="3"/>
        <v>1</v>
      </c>
      <c r="I227" s="5">
        <f>7/13</f>
        <v>0.53846153846153844</v>
      </c>
      <c r="J227" s="5">
        <f>10/13</f>
        <v>0.76923076923076927</v>
      </c>
      <c r="K227" s="4">
        <v>13</v>
      </c>
      <c r="L227" s="6">
        <v>10</v>
      </c>
    </row>
    <row r="228" spans="1:12">
      <c r="A228" s="7" t="s">
        <v>33</v>
      </c>
      <c r="B228" s="15">
        <v>29</v>
      </c>
      <c r="C228" s="15">
        <v>34</v>
      </c>
      <c r="D228" s="15">
        <v>0.1</v>
      </c>
      <c r="E228" s="15">
        <v>1</v>
      </c>
      <c r="F228" s="30">
        <v>0</v>
      </c>
      <c r="G228" s="15">
        <v>1</v>
      </c>
      <c r="H228" s="16">
        <f t="shared" si="3"/>
        <v>1</v>
      </c>
      <c r="I228" s="8"/>
      <c r="J228" s="8"/>
      <c r="K228" s="8"/>
      <c r="L228" s="10"/>
    </row>
    <row r="229" spans="1:12">
      <c r="A229" s="7"/>
      <c r="B229" s="15">
        <v>29</v>
      </c>
      <c r="C229" s="15">
        <v>34</v>
      </c>
      <c r="D229" s="15">
        <v>0.2</v>
      </c>
      <c r="E229" s="15">
        <v>2</v>
      </c>
      <c r="F229" s="30">
        <v>0</v>
      </c>
      <c r="G229" s="15">
        <v>2</v>
      </c>
      <c r="H229" s="16">
        <f t="shared" si="3"/>
        <v>0.5</v>
      </c>
      <c r="I229" s="8"/>
      <c r="J229" s="8"/>
      <c r="K229" s="8"/>
      <c r="L229" s="10"/>
    </row>
    <row r="230" spans="1:12">
      <c r="A230" s="7"/>
      <c r="B230" s="15">
        <v>29</v>
      </c>
      <c r="C230" s="15">
        <v>34</v>
      </c>
      <c r="D230" s="15">
        <v>0.2</v>
      </c>
      <c r="E230" s="15">
        <v>2</v>
      </c>
      <c r="F230" s="30">
        <v>0</v>
      </c>
      <c r="G230" s="15">
        <v>2</v>
      </c>
      <c r="H230" s="16">
        <f t="shared" si="3"/>
        <v>0.5</v>
      </c>
      <c r="I230" s="8"/>
      <c r="J230" s="8"/>
      <c r="K230" s="8"/>
      <c r="L230" s="10"/>
    </row>
    <row r="231" spans="1:12">
      <c r="A231" s="7"/>
      <c r="B231" s="15">
        <v>29</v>
      </c>
      <c r="C231" s="15">
        <v>34</v>
      </c>
      <c r="D231" s="15">
        <v>0.1</v>
      </c>
      <c r="E231" s="15">
        <v>0</v>
      </c>
      <c r="F231" s="30">
        <v>2</v>
      </c>
      <c r="G231" s="15">
        <v>2</v>
      </c>
      <c r="H231" s="16">
        <f t="shared" si="3"/>
        <v>0.5</v>
      </c>
      <c r="I231" s="8"/>
      <c r="J231" s="8"/>
      <c r="K231" s="8"/>
      <c r="L231" s="10"/>
    </row>
    <row r="232" spans="1:12">
      <c r="A232" s="7"/>
      <c r="B232" s="15">
        <v>29</v>
      </c>
      <c r="C232" s="15">
        <v>34</v>
      </c>
      <c r="D232" s="15">
        <v>0.2</v>
      </c>
      <c r="E232" s="15">
        <v>2</v>
      </c>
      <c r="F232" s="30">
        <v>0</v>
      </c>
      <c r="G232" s="15">
        <v>2</v>
      </c>
      <c r="H232" s="16">
        <f t="shared" si="3"/>
        <v>0.5</v>
      </c>
      <c r="I232" s="8"/>
      <c r="J232" s="8"/>
      <c r="K232" s="8"/>
      <c r="L232" s="10"/>
    </row>
    <row r="233" spans="1:12">
      <c r="A233" s="11"/>
      <c r="B233" s="19">
        <v>29</v>
      </c>
      <c r="C233" s="19">
        <v>34</v>
      </c>
      <c r="D233" s="19">
        <v>0.1</v>
      </c>
      <c r="E233" s="19">
        <v>2</v>
      </c>
      <c r="F233" s="32">
        <v>1</v>
      </c>
      <c r="G233" s="19">
        <v>3</v>
      </c>
      <c r="H233" s="20">
        <f t="shared" si="3"/>
        <v>0.33333333333333331</v>
      </c>
      <c r="I233" s="12"/>
      <c r="J233" s="12"/>
      <c r="K233" s="12">
        <f>SUM(G227:G233)</f>
        <v>13</v>
      </c>
      <c r="L233" s="14">
        <f>SUM(E227:E233)</f>
        <v>10</v>
      </c>
    </row>
    <row r="234" spans="1:12">
      <c r="A234" s="3" t="s">
        <v>46</v>
      </c>
      <c r="B234" s="17">
        <v>30</v>
      </c>
      <c r="C234" s="17">
        <v>34</v>
      </c>
      <c r="D234" s="17">
        <v>0.1</v>
      </c>
      <c r="E234" s="17">
        <v>3</v>
      </c>
      <c r="F234" s="31">
        <v>0</v>
      </c>
      <c r="G234" s="17">
        <v>3</v>
      </c>
      <c r="H234" s="18">
        <f t="shared" si="3"/>
        <v>0.33333333333333331</v>
      </c>
      <c r="I234" s="5">
        <f>6/14</f>
        <v>0.42857142857142855</v>
      </c>
      <c r="J234" s="5">
        <f>11/14</f>
        <v>0.7857142857142857</v>
      </c>
      <c r="K234" s="4">
        <v>27</v>
      </c>
      <c r="L234" s="6">
        <v>18</v>
      </c>
    </row>
    <row r="235" spans="1:12">
      <c r="A235" s="7" t="s">
        <v>18</v>
      </c>
      <c r="B235" s="15">
        <v>30</v>
      </c>
      <c r="C235" s="15">
        <v>34</v>
      </c>
      <c r="D235" s="15">
        <v>0.2</v>
      </c>
      <c r="E235" s="15">
        <v>1</v>
      </c>
      <c r="F235" s="30">
        <v>1</v>
      </c>
      <c r="G235" s="15">
        <v>2</v>
      </c>
      <c r="H235" s="16">
        <f t="shared" si="3"/>
        <v>0.5</v>
      </c>
      <c r="I235" s="8"/>
      <c r="J235" s="8"/>
      <c r="K235" s="8"/>
      <c r="L235" s="10"/>
    </row>
    <row r="236" spans="1:12">
      <c r="A236" s="7"/>
      <c r="B236" s="15">
        <v>30</v>
      </c>
      <c r="C236" s="15">
        <v>34</v>
      </c>
      <c r="D236" s="15">
        <v>0.1</v>
      </c>
      <c r="E236" s="15">
        <v>0</v>
      </c>
      <c r="F236" s="30">
        <v>2</v>
      </c>
      <c r="G236" s="15">
        <v>2</v>
      </c>
      <c r="H236" s="16">
        <f t="shared" si="3"/>
        <v>0.5</v>
      </c>
      <c r="I236" s="8"/>
      <c r="J236" s="8"/>
      <c r="K236" s="8"/>
      <c r="L236" s="10"/>
    </row>
    <row r="237" spans="1:12">
      <c r="A237" s="7"/>
      <c r="B237" s="15">
        <v>30</v>
      </c>
      <c r="C237" s="15">
        <v>34</v>
      </c>
      <c r="D237" s="15">
        <v>0.2</v>
      </c>
      <c r="E237" s="15">
        <v>0</v>
      </c>
      <c r="F237" s="30">
        <v>1</v>
      </c>
      <c r="G237" s="15">
        <v>1</v>
      </c>
      <c r="H237" s="16">
        <f t="shared" si="3"/>
        <v>1</v>
      </c>
      <c r="I237" s="8"/>
      <c r="J237" s="8"/>
      <c r="K237" s="8"/>
      <c r="L237" s="10"/>
    </row>
    <row r="238" spans="1:12">
      <c r="A238" s="7"/>
      <c r="B238" s="15">
        <v>30</v>
      </c>
      <c r="C238" s="15">
        <v>34</v>
      </c>
      <c r="D238" s="15">
        <v>0.3</v>
      </c>
      <c r="E238" s="15">
        <v>2</v>
      </c>
      <c r="F238" s="30">
        <v>1</v>
      </c>
      <c r="G238" s="15">
        <v>3</v>
      </c>
      <c r="H238" s="16">
        <f t="shared" si="3"/>
        <v>0.33333333333333331</v>
      </c>
      <c r="I238" s="8"/>
      <c r="J238" s="8"/>
      <c r="K238" s="8"/>
      <c r="L238" s="10"/>
    </row>
    <row r="239" spans="1:12">
      <c r="A239" s="11"/>
      <c r="B239" s="19">
        <v>30</v>
      </c>
      <c r="C239" s="19">
        <v>34</v>
      </c>
      <c r="D239" s="19">
        <v>0.2</v>
      </c>
      <c r="E239" s="19">
        <v>2</v>
      </c>
      <c r="F239" s="32">
        <v>1</v>
      </c>
      <c r="G239" s="19">
        <v>3</v>
      </c>
      <c r="H239" s="20">
        <f t="shared" si="3"/>
        <v>0.33333333333333331</v>
      </c>
      <c r="I239" s="12"/>
      <c r="J239" s="12"/>
      <c r="K239" s="12">
        <f>SUM(G227:G239)</f>
        <v>27</v>
      </c>
      <c r="L239" s="14">
        <f>SUM(E227:E239)</f>
        <v>18</v>
      </c>
    </row>
    <row r="240" spans="1:12">
      <c r="A240" s="3" t="s">
        <v>46</v>
      </c>
      <c r="B240" s="17">
        <v>31</v>
      </c>
      <c r="C240" s="17">
        <v>34</v>
      </c>
      <c r="D240" s="17">
        <v>0.1</v>
      </c>
      <c r="E240" s="17">
        <v>1</v>
      </c>
      <c r="F240" s="31">
        <v>2</v>
      </c>
      <c r="G240" s="17">
        <v>3</v>
      </c>
      <c r="H240" s="18">
        <f t="shared" si="3"/>
        <v>0.33333333333333331</v>
      </c>
      <c r="I240" s="5">
        <f>8/26</f>
        <v>0.30769230769230771</v>
      </c>
      <c r="J240" s="5">
        <f>10/26</f>
        <v>0.38461538461538464</v>
      </c>
      <c r="K240" s="4">
        <v>53</v>
      </c>
      <c r="L240" s="6">
        <v>37</v>
      </c>
    </row>
    <row r="241" spans="1:12">
      <c r="A241" s="7" t="s">
        <v>12</v>
      </c>
      <c r="B241" s="15">
        <v>31</v>
      </c>
      <c r="C241" s="15">
        <v>34</v>
      </c>
      <c r="D241" s="15">
        <v>0.1</v>
      </c>
      <c r="E241" s="15">
        <v>1</v>
      </c>
      <c r="F241" s="30">
        <v>0</v>
      </c>
      <c r="G241" s="15">
        <v>1</v>
      </c>
      <c r="H241" s="16">
        <f t="shared" si="3"/>
        <v>1</v>
      </c>
      <c r="I241" s="8"/>
      <c r="J241" s="8"/>
      <c r="K241" s="8"/>
      <c r="L241" s="10"/>
    </row>
    <row r="242" spans="1:12">
      <c r="A242" s="7"/>
      <c r="B242" s="15">
        <v>31</v>
      </c>
      <c r="C242" s="15">
        <v>34</v>
      </c>
      <c r="D242" s="15">
        <v>0.1</v>
      </c>
      <c r="E242" s="15">
        <v>9</v>
      </c>
      <c r="F242" s="30">
        <v>2</v>
      </c>
      <c r="G242" s="15">
        <v>11</v>
      </c>
      <c r="H242" s="16">
        <f t="shared" si="3"/>
        <v>9.0909090909090912E-2</v>
      </c>
      <c r="I242" s="8"/>
      <c r="J242" s="8"/>
      <c r="K242" s="8"/>
      <c r="L242" s="10"/>
    </row>
    <row r="243" spans="1:12">
      <c r="A243" s="7"/>
      <c r="B243" s="15">
        <v>31</v>
      </c>
      <c r="C243" s="15">
        <v>34</v>
      </c>
      <c r="D243" s="15">
        <v>0.1</v>
      </c>
      <c r="E243" s="15">
        <v>1</v>
      </c>
      <c r="F243" s="30">
        <v>0</v>
      </c>
      <c r="G243" s="15">
        <v>1</v>
      </c>
      <c r="H243" s="16">
        <f t="shared" si="3"/>
        <v>1</v>
      </c>
      <c r="I243" s="8"/>
      <c r="J243" s="8"/>
      <c r="K243" s="8"/>
      <c r="L243" s="10"/>
    </row>
    <row r="244" spans="1:12">
      <c r="A244" s="7"/>
      <c r="B244" s="15">
        <v>31</v>
      </c>
      <c r="C244" s="15">
        <v>34</v>
      </c>
      <c r="D244" s="15">
        <v>0.1</v>
      </c>
      <c r="E244" s="15">
        <v>2</v>
      </c>
      <c r="F244" s="30">
        <v>0</v>
      </c>
      <c r="G244" s="15">
        <v>2</v>
      </c>
      <c r="H244" s="16">
        <f t="shared" si="3"/>
        <v>0.5</v>
      </c>
      <c r="I244" s="8"/>
      <c r="J244" s="8"/>
      <c r="K244" s="8"/>
      <c r="L244" s="10"/>
    </row>
    <row r="245" spans="1:12">
      <c r="A245" s="7"/>
      <c r="B245" s="15">
        <v>31</v>
      </c>
      <c r="C245" s="15">
        <v>34</v>
      </c>
      <c r="D245" s="15">
        <v>0.1</v>
      </c>
      <c r="E245" s="15">
        <v>2</v>
      </c>
      <c r="F245" s="30">
        <v>0</v>
      </c>
      <c r="G245" s="15">
        <v>2</v>
      </c>
      <c r="H245" s="16">
        <f t="shared" si="3"/>
        <v>0.5</v>
      </c>
      <c r="I245" s="8"/>
      <c r="J245" s="8"/>
      <c r="K245" s="8"/>
      <c r="L245" s="10"/>
    </row>
    <row r="246" spans="1:12">
      <c r="A246" s="7"/>
      <c r="B246" s="15">
        <v>31</v>
      </c>
      <c r="C246" s="15">
        <v>34</v>
      </c>
      <c r="D246" s="15">
        <v>0.1</v>
      </c>
      <c r="E246" s="15">
        <v>1</v>
      </c>
      <c r="F246" s="30">
        <v>2</v>
      </c>
      <c r="G246" s="15">
        <v>3</v>
      </c>
      <c r="H246" s="16">
        <f t="shared" si="3"/>
        <v>0.33333333333333331</v>
      </c>
      <c r="I246" s="8"/>
      <c r="J246" s="8"/>
      <c r="K246" s="8"/>
      <c r="L246" s="10"/>
    </row>
    <row r="247" spans="1:12">
      <c r="A247" s="11"/>
      <c r="B247" s="19">
        <v>31</v>
      </c>
      <c r="C247" s="19">
        <v>34</v>
      </c>
      <c r="D247" s="19">
        <v>0.3</v>
      </c>
      <c r="E247" s="19">
        <v>2</v>
      </c>
      <c r="F247" s="32">
        <v>1</v>
      </c>
      <c r="G247" s="19">
        <v>3</v>
      </c>
      <c r="H247" s="20">
        <f t="shared" si="3"/>
        <v>0.33333333333333331</v>
      </c>
      <c r="I247" s="12"/>
      <c r="J247" s="12"/>
      <c r="K247" s="12">
        <f>SUM(G227:G247)</f>
        <v>53</v>
      </c>
      <c r="L247" s="14">
        <f>SUM(E227:E247)</f>
        <v>37</v>
      </c>
    </row>
    <row r="248" spans="1:12">
      <c r="A248" s="3" t="s">
        <v>46</v>
      </c>
      <c r="B248" s="17">
        <v>32</v>
      </c>
      <c r="C248" s="17">
        <v>34</v>
      </c>
      <c r="D248" s="17">
        <v>0.1</v>
      </c>
      <c r="E248" s="17">
        <v>3</v>
      </c>
      <c r="F248" s="31">
        <v>0</v>
      </c>
      <c r="G248" s="17">
        <v>3</v>
      </c>
      <c r="H248" s="18">
        <f t="shared" si="3"/>
        <v>0.33333333333333331</v>
      </c>
      <c r="I248" s="5">
        <f>6/24</f>
        <v>0.25</v>
      </c>
      <c r="J248" s="5">
        <f>9/24</f>
        <v>0.375</v>
      </c>
      <c r="K248" s="4">
        <v>77</v>
      </c>
      <c r="L248" s="6">
        <v>57</v>
      </c>
    </row>
    <row r="249" spans="1:12">
      <c r="A249" s="7" t="s">
        <v>13</v>
      </c>
      <c r="B249" s="15">
        <v>32</v>
      </c>
      <c r="C249" s="15">
        <v>34</v>
      </c>
      <c r="D249" s="15">
        <v>0.1</v>
      </c>
      <c r="E249" s="15">
        <v>8</v>
      </c>
      <c r="F249" s="30">
        <v>0</v>
      </c>
      <c r="G249" s="15">
        <v>8</v>
      </c>
      <c r="H249" s="16">
        <f t="shared" si="3"/>
        <v>0.125</v>
      </c>
      <c r="I249" s="8"/>
      <c r="J249" s="8"/>
      <c r="K249" s="8"/>
      <c r="L249" s="10"/>
    </row>
    <row r="250" spans="1:12">
      <c r="A250" s="7"/>
      <c r="B250" s="15">
        <v>32</v>
      </c>
      <c r="C250" s="15">
        <v>34</v>
      </c>
      <c r="D250" s="15">
        <v>0.2</v>
      </c>
      <c r="E250" s="15">
        <v>2</v>
      </c>
      <c r="F250" s="30">
        <v>0</v>
      </c>
      <c r="G250" s="15">
        <v>2</v>
      </c>
      <c r="H250" s="16">
        <f t="shared" si="3"/>
        <v>0.5</v>
      </c>
      <c r="I250" s="8"/>
      <c r="J250" s="8"/>
      <c r="K250" s="8"/>
      <c r="L250" s="10"/>
    </row>
    <row r="251" spans="1:12">
      <c r="A251" s="7"/>
      <c r="B251" s="15">
        <v>32</v>
      </c>
      <c r="C251" s="15">
        <v>34</v>
      </c>
      <c r="D251" s="15">
        <v>0.1</v>
      </c>
      <c r="E251" s="15">
        <v>3</v>
      </c>
      <c r="F251" s="30">
        <v>2</v>
      </c>
      <c r="G251" s="15">
        <v>5</v>
      </c>
      <c r="H251" s="16">
        <f t="shared" si="3"/>
        <v>0.2</v>
      </c>
      <c r="I251" s="8"/>
      <c r="J251" s="8"/>
      <c r="K251" s="8"/>
      <c r="L251" s="10"/>
    </row>
    <row r="252" spans="1:12">
      <c r="A252" s="7"/>
      <c r="B252" s="15">
        <v>32</v>
      </c>
      <c r="C252" s="15">
        <v>34</v>
      </c>
      <c r="D252" s="15">
        <v>0.2</v>
      </c>
      <c r="E252" s="15">
        <v>1</v>
      </c>
      <c r="F252" s="30">
        <v>0</v>
      </c>
      <c r="G252" s="15">
        <v>1</v>
      </c>
      <c r="H252" s="16">
        <f t="shared" si="3"/>
        <v>1</v>
      </c>
      <c r="I252" s="8"/>
      <c r="J252" s="8"/>
      <c r="K252" s="8"/>
      <c r="L252" s="10"/>
    </row>
    <row r="253" spans="1:12">
      <c r="A253" s="11"/>
      <c r="B253" s="19">
        <v>32</v>
      </c>
      <c r="C253" s="19">
        <v>34</v>
      </c>
      <c r="D253" s="19">
        <v>0.2</v>
      </c>
      <c r="E253" s="19">
        <v>3</v>
      </c>
      <c r="F253" s="32">
        <v>2</v>
      </c>
      <c r="G253" s="19">
        <v>5</v>
      </c>
      <c r="H253" s="20">
        <f t="shared" si="3"/>
        <v>0.2</v>
      </c>
      <c r="I253" s="12"/>
      <c r="J253" s="12"/>
      <c r="K253" s="12">
        <f>SUM(G227:G253)</f>
        <v>77</v>
      </c>
      <c r="L253" s="14">
        <f>SUM(E227:E253)</f>
        <v>57</v>
      </c>
    </row>
    <row r="254" spans="1:12">
      <c r="A254" s="3" t="s">
        <v>46</v>
      </c>
      <c r="B254" s="17">
        <v>33</v>
      </c>
      <c r="C254" s="17">
        <v>34</v>
      </c>
      <c r="D254" s="17">
        <v>0.1</v>
      </c>
      <c r="E254" s="17">
        <v>4</v>
      </c>
      <c r="F254" s="31">
        <v>1</v>
      </c>
      <c r="G254" s="17">
        <v>5</v>
      </c>
      <c r="H254" s="18">
        <f t="shared" si="3"/>
        <v>0.2</v>
      </c>
      <c r="I254" s="5">
        <f>9/109</f>
        <v>8.2568807339449546E-2</v>
      </c>
      <c r="J254" s="5">
        <f>10/109</f>
        <v>9.1743119266055051E-2</v>
      </c>
      <c r="K254" s="4">
        <v>186</v>
      </c>
      <c r="L254" s="6">
        <v>147</v>
      </c>
    </row>
    <row r="255" spans="1:12">
      <c r="A255" s="7" t="s">
        <v>14</v>
      </c>
      <c r="B255" s="15">
        <v>33</v>
      </c>
      <c r="C255" s="15">
        <v>34</v>
      </c>
      <c r="D255" s="15">
        <v>0.1</v>
      </c>
      <c r="E255" s="15">
        <v>26</v>
      </c>
      <c r="F255" s="30">
        <v>6</v>
      </c>
      <c r="G255" s="15">
        <v>32</v>
      </c>
      <c r="H255" s="16">
        <f t="shared" si="3"/>
        <v>3.125E-2</v>
      </c>
      <c r="I255" s="8"/>
      <c r="J255" s="8"/>
      <c r="K255" s="8"/>
      <c r="L255" s="10"/>
    </row>
    <row r="256" spans="1:12">
      <c r="A256" s="7"/>
      <c r="B256" s="15">
        <v>33</v>
      </c>
      <c r="C256" s="15">
        <v>34</v>
      </c>
      <c r="D256" s="15">
        <v>0.1</v>
      </c>
      <c r="E256" s="15">
        <v>2</v>
      </c>
      <c r="F256" s="30">
        <v>1</v>
      </c>
      <c r="G256" s="15">
        <v>3</v>
      </c>
      <c r="H256" s="16">
        <f t="shared" si="3"/>
        <v>0.33333333333333331</v>
      </c>
      <c r="I256" s="8"/>
      <c r="J256" s="8"/>
      <c r="K256" s="8"/>
      <c r="L256" s="10"/>
    </row>
    <row r="257" spans="1:12">
      <c r="A257" s="7"/>
      <c r="B257" s="15">
        <v>33</v>
      </c>
      <c r="C257" s="15">
        <v>34</v>
      </c>
      <c r="D257" s="15">
        <v>0.1</v>
      </c>
      <c r="E257" s="15">
        <v>5</v>
      </c>
      <c r="F257" s="30">
        <v>2</v>
      </c>
      <c r="G257" s="15">
        <v>7</v>
      </c>
      <c r="H257" s="16">
        <f t="shared" si="3"/>
        <v>0.14285714285714285</v>
      </c>
      <c r="I257" s="8"/>
      <c r="J257" s="8"/>
      <c r="K257" s="8"/>
      <c r="L257" s="10"/>
    </row>
    <row r="258" spans="1:12">
      <c r="A258" s="7"/>
      <c r="B258" s="15">
        <v>33</v>
      </c>
      <c r="C258" s="15">
        <v>34</v>
      </c>
      <c r="D258" s="15">
        <v>0.1</v>
      </c>
      <c r="E258" s="15">
        <v>6</v>
      </c>
      <c r="F258" s="30">
        <v>0</v>
      </c>
      <c r="G258" s="15">
        <v>6</v>
      </c>
      <c r="H258" s="16">
        <f t="shared" ref="H258:H321" si="4">1/G258</f>
        <v>0.16666666666666666</v>
      </c>
      <c r="I258" s="8"/>
      <c r="J258" s="8"/>
      <c r="K258" s="8"/>
      <c r="L258" s="10"/>
    </row>
    <row r="259" spans="1:12">
      <c r="A259" s="7"/>
      <c r="B259" s="15">
        <v>33</v>
      </c>
      <c r="C259" s="15">
        <v>34</v>
      </c>
      <c r="D259" s="15">
        <v>0.1</v>
      </c>
      <c r="E259" s="15">
        <v>21</v>
      </c>
      <c r="F259" s="30">
        <v>4</v>
      </c>
      <c r="G259" s="15">
        <v>25</v>
      </c>
      <c r="H259" s="16">
        <f t="shared" si="4"/>
        <v>0.04</v>
      </c>
      <c r="I259" s="8"/>
      <c r="J259" s="8"/>
      <c r="K259" s="8"/>
      <c r="L259" s="10"/>
    </row>
    <row r="260" spans="1:12">
      <c r="A260" s="7"/>
      <c r="B260" s="15">
        <v>33</v>
      </c>
      <c r="C260" s="15">
        <v>34</v>
      </c>
      <c r="D260" s="15">
        <v>0.2</v>
      </c>
      <c r="E260" s="15">
        <v>5</v>
      </c>
      <c r="F260" s="30">
        <v>0</v>
      </c>
      <c r="G260" s="15">
        <v>5</v>
      </c>
      <c r="H260" s="16">
        <f t="shared" si="4"/>
        <v>0.2</v>
      </c>
      <c r="I260" s="8"/>
      <c r="J260" s="8"/>
      <c r="K260" s="8"/>
      <c r="L260" s="10"/>
    </row>
    <row r="261" spans="1:12">
      <c r="A261" s="7"/>
      <c r="B261" s="15">
        <v>33</v>
      </c>
      <c r="C261" s="15">
        <v>34</v>
      </c>
      <c r="D261" s="15">
        <v>0.1</v>
      </c>
      <c r="E261" s="15">
        <v>8</v>
      </c>
      <c r="F261" s="30">
        <v>1</v>
      </c>
      <c r="G261" s="15">
        <v>9</v>
      </c>
      <c r="H261" s="16">
        <f t="shared" si="4"/>
        <v>0.1111111111111111</v>
      </c>
      <c r="I261" s="8"/>
      <c r="J261" s="8"/>
      <c r="K261" s="8"/>
      <c r="L261" s="10"/>
    </row>
    <row r="262" spans="1:12">
      <c r="A262" s="11"/>
      <c r="B262" s="19">
        <v>33</v>
      </c>
      <c r="C262" s="19">
        <v>34</v>
      </c>
      <c r="D262" s="19">
        <v>0.1</v>
      </c>
      <c r="E262" s="19">
        <v>13</v>
      </c>
      <c r="F262" s="32">
        <v>4</v>
      </c>
      <c r="G262" s="19">
        <v>17</v>
      </c>
      <c r="H262" s="20">
        <f t="shared" si="4"/>
        <v>5.8823529411764705E-2</v>
      </c>
      <c r="I262" s="12"/>
      <c r="J262" s="12"/>
      <c r="K262" s="12">
        <f>SUM(G227:G262)</f>
        <v>186</v>
      </c>
      <c r="L262" s="14">
        <f>SUM(E227:E262)</f>
        <v>147</v>
      </c>
    </row>
    <row r="263" spans="1:12">
      <c r="A263" s="3" t="s">
        <v>53</v>
      </c>
      <c r="B263" s="17">
        <v>34</v>
      </c>
      <c r="C263" s="17">
        <v>37</v>
      </c>
      <c r="D263" s="17">
        <v>0.1</v>
      </c>
      <c r="E263" s="17">
        <v>4</v>
      </c>
      <c r="F263" s="31">
        <v>2</v>
      </c>
      <c r="G263" s="17">
        <v>6</v>
      </c>
      <c r="H263" s="18">
        <f t="shared" si="4"/>
        <v>0.16666666666666666</v>
      </c>
      <c r="I263" s="5">
        <f>7/36</f>
        <v>0.19444444444444445</v>
      </c>
      <c r="J263" s="5">
        <f>10/36</f>
        <v>0.27777777777777779</v>
      </c>
      <c r="K263" s="4">
        <v>36</v>
      </c>
      <c r="L263" s="6">
        <v>25</v>
      </c>
    </row>
    <row r="264" spans="1:12">
      <c r="A264" s="7" t="s">
        <v>12</v>
      </c>
      <c r="B264" s="15">
        <v>34</v>
      </c>
      <c r="C264" s="15">
        <v>37</v>
      </c>
      <c r="D264" s="15">
        <v>0.2</v>
      </c>
      <c r="E264" s="15">
        <v>2</v>
      </c>
      <c r="F264" s="30">
        <v>4</v>
      </c>
      <c r="G264" s="15">
        <v>6</v>
      </c>
      <c r="H264" s="16">
        <f t="shared" si="4"/>
        <v>0.16666666666666666</v>
      </c>
      <c r="I264" s="8"/>
      <c r="J264" s="8"/>
      <c r="K264" s="8"/>
      <c r="L264" s="10"/>
    </row>
    <row r="265" spans="1:12">
      <c r="A265" s="7"/>
      <c r="B265" s="15">
        <v>34</v>
      </c>
      <c r="C265" s="15">
        <v>37</v>
      </c>
      <c r="D265" s="15">
        <v>0.2</v>
      </c>
      <c r="E265" s="15">
        <v>10</v>
      </c>
      <c r="F265" s="30">
        <v>0</v>
      </c>
      <c r="G265" s="15">
        <v>10</v>
      </c>
      <c r="H265" s="16">
        <f t="shared" si="4"/>
        <v>0.1</v>
      </c>
      <c r="I265" s="8"/>
      <c r="J265" s="8"/>
      <c r="K265" s="8"/>
      <c r="L265" s="10"/>
    </row>
    <row r="266" spans="1:12">
      <c r="A266" s="7"/>
      <c r="B266" s="15">
        <v>34</v>
      </c>
      <c r="C266" s="15">
        <v>37</v>
      </c>
      <c r="D266" s="15">
        <v>0.1</v>
      </c>
      <c r="E266" s="15">
        <v>1</v>
      </c>
      <c r="F266" s="30">
        <v>0</v>
      </c>
      <c r="G266" s="15">
        <v>1</v>
      </c>
      <c r="H266" s="16">
        <f t="shared" si="4"/>
        <v>1</v>
      </c>
      <c r="I266" s="8"/>
      <c r="J266" s="8"/>
      <c r="K266" s="8"/>
      <c r="L266" s="10"/>
    </row>
    <row r="267" spans="1:12">
      <c r="A267" s="7"/>
      <c r="B267" s="15">
        <v>34</v>
      </c>
      <c r="C267" s="15">
        <v>37</v>
      </c>
      <c r="D267" s="15">
        <v>0.1</v>
      </c>
      <c r="E267" s="15">
        <v>1</v>
      </c>
      <c r="F267" s="30">
        <v>0</v>
      </c>
      <c r="G267" s="15">
        <v>1</v>
      </c>
      <c r="H267" s="16">
        <f t="shared" si="4"/>
        <v>1</v>
      </c>
      <c r="I267" s="8"/>
      <c r="J267" s="8"/>
      <c r="K267" s="8"/>
      <c r="L267" s="10"/>
    </row>
    <row r="268" spans="1:12">
      <c r="A268" s="7"/>
      <c r="B268" s="15">
        <v>34</v>
      </c>
      <c r="C268" s="15">
        <v>37</v>
      </c>
      <c r="D268" s="15">
        <v>0.2</v>
      </c>
      <c r="E268" s="15">
        <v>3</v>
      </c>
      <c r="F268" s="30">
        <v>2</v>
      </c>
      <c r="G268" s="15">
        <v>5</v>
      </c>
      <c r="H268" s="16">
        <f t="shared" si="4"/>
        <v>0.2</v>
      </c>
      <c r="I268" s="8"/>
      <c r="J268" s="8"/>
      <c r="K268" s="8"/>
      <c r="L268" s="10"/>
    </row>
    <row r="269" spans="1:12">
      <c r="A269" s="11"/>
      <c r="B269" s="19">
        <v>34</v>
      </c>
      <c r="C269" s="19">
        <v>37</v>
      </c>
      <c r="D269" s="19">
        <v>0.1</v>
      </c>
      <c r="E269" s="19">
        <v>4</v>
      </c>
      <c r="F269" s="32">
        <v>3</v>
      </c>
      <c r="G269" s="19">
        <v>7</v>
      </c>
      <c r="H269" s="20">
        <f t="shared" si="4"/>
        <v>0.14285714285714285</v>
      </c>
      <c r="I269" s="12"/>
      <c r="J269" s="12"/>
      <c r="K269" s="12">
        <f>SUM(G263:G269)</f>
        <v>36</v>
      </c>
      <c r="L269" s="14">
        <f>SUM(E263:E269)</f>
        <v>25</v>
      </c>
    </row>
    <row r="270" spans="1:12">
      <c r="A270" s="3" t="s">
        <v>53</v>
      </c>
      <c r="B270" s="17">
        <v>35</v>
      </c>
      <c r="C270" s="17">
        <v>37</v>
      </c>
      <c r="D270" s="17">
        <v>0.1</v>
      </c>
      <c r="E270" s="17">
        <v>3</v>
      </c>
      <c r="F270" s="31">
        <v>0</v>
      </c>
      <c r="G270" s="17">
        <v>3</v>
      </c>
      <c r="H270" s="18">
        <f t="shared" si="4"/>
        <v>0.33333333333333331</v>
      </c>
      <c r="I270" s="5">
        <f>9/33</f>
        <v>0.27272727272727271</v>
      </c>
      <c r="J270" s="5">
        <f>10/33</f>
        <v>0.30303030303030304</v>
      </c>
      <c r="K270" s="4">
        <v>69</v>
      </c>
      <c r="L270" s="6">
        <v>50</v>
      </c>
    </row>
    <row r="271" spans="1:12">
      <c r="A271" s="7" t="s">
        <v>13</v>
      </c>
      <c r="B271" s="15">
        <v>35</v>
      </c>
      <c r="C271" s="15">
        <v>37</v>
      </c>
      <c r="D271" s="15">
        <v>0.1</v>
      </c>
      <c r="E271" s="15">
        <v>4</v>
      </c>
      <c r="F271" s="30">
        <v>1</v>
      </c>
      <c r="G271" s="15">
        <v>5</v>
      </c>
      <c r="H271" s="16">
        <f t="shared" si="4"/>
        <v>0.2</v>
      </c>
      <c r="I271" s="8"/>
      <c r="J271" s="8"/>
      <c r="K271" s="8"/>
      <c r="L271" s="10"/>
    </row>
    <row r="272" spans="1:12">
      <c r="A272" s="7"/>
      <c r="B272" s="15">
        <v>35</v>
      </c>
      <c r="C272" s="15">
        <v>37</v>
      </c>
      <c r="D272" s="15">
        <v>0.1</v>
      </c>
      <c r="E272" s="15">
        <v>4</v>
      </c>
      <c r="F272" s="30">
        <v>0</v>
      </c>
      <c r="G272" s="15">
        <v>4</v>
      </c>
      <c r="H272" s="16">
        <f t="shared" si="4"/>
        <v>0.25</v>
      </c>
      <c r="I272" s="8"/>
      <c r="J272" s="8"/>
      <c r="K272" s="8"/>
      <c r="L272" s="10"/>
    </row>
    <row r="273" spans="1:12">
      <c r="A273" s="7"/>
      <c r="B273" s="15">
        <v>35</v>
      </c>
      <c r="C273" s="15">
        <v>37</v>
      </c>
      <c r="D273" s="15">
        <v>0.1</v>
      </c>
      <c r="E273" s="15">
        <v>1</v>
      </c>
      <c r="F273" s="30">
        <v>0</v>
      </c>
      <c r="G273" s="15">
        <v>1</v>
      </c>
      <c r="H273" s="16">
        <f t="shared" si="4"/>
        <v>1</v>
      </c>
      <c r="I273" s="8"/>
      <c r="J273" s="8"/>
      <c r="K273" s="8"/>
      <c r="L273" s="10"/>
    </row>
    <row r="274" spans="1:12">
      <c r="A274" s="7"/>
      <c r="B274" s="15">
        <v>35</v>
      </c>
      <c r="C274" s="15">
        <v>37</v>
      </c>
      <c r="D274" s="15">
        <v>0.1</v>
      </c>
      <c r="E274" s="15">
        <v>2</v>
      </c>
      <c r="F274" s="30">
        <v>0</v>
      </c>
      <c r="G274" s="15">
        <v>2</v>
      </c>
      <c r="H274" s="16">
        <f t="shared" si="4"/>
        <v>0.5</v>
      </c>
      <c r="I274" s="8"/>
      <c r="J274" s="8"/>
      <c r="K274" s="8"/>
      <c r="L274" s="10"/>
    </row>
    <row r="275" spans="1:12">
      <c r="A275" s="7"/>
      <c r="B275" s="15">
        <v>35</v>
      </c>
      <c r="C275" s="15">
        <v>37</v>
      </c>
      <c r="D275" s="15">
        <v>0.1</v>
      </c>
      <c r="E275" s="15">
        <v>1</v>
      </c>
      <c r="F275" s="30">
        <v>1</v>
      </c>
      <c r="G275" s="15">
        <v>2</v>
      </c>
      <c r="H275" s="16">
        <f t="shared" si="4"/>
        <v>0.5</v>
      </c>
      <c r="I275" s="8"/>
      <c r="J275" s="8"/>
      <c r="K275" s="8"/>
      <c r="L275" s="10"/>
    </row>
    <row r="276" spans="1:12">
      <c r="A276" s="7"/>
      <c r="B276" s="15">
        <v>35</v>
      </c>
      <c r="C276" s="15">
        <v>37</v>
      </c>
      <c r="D276" s="15">
        <v>0.2</v>
      </c>
      <c r="E276" s="15">
        <v>7</v>
      </c>
      <c r="F276" s="30">
        <v>5</v>
      </c>
      <c r="G276" s="15">
        <v>12</v>
      </c>
      <c r="H276" s="16">
        <f t="shared" si="4"/>
        <v>8.3333333333333329E-2</v>
      </c>
      <c r="I276" s="8"/>
      <c r="J276" s="8"/>
      <c r="K276" s="8"/>
      <c r="L276" s="10"/>
    </row>
    <row r="277" spans="1:12">
      <c r="A277" s="7"/>
      <c r="B277" s="15">
        <v>35</v>
      </c>
      <c r="C277" s="15">
        <v>37</v>
      </c>
      <c r="D277" s="15">
        <v>0.1</v>
      </c>
      <c r="E277" s="15">
        <v>0</v>
      </c>
      <c r="F277" s="30">
        <v>1</v>
      </c>
      <c r="G277" s="15">
        <v>1</v>
      </c>
      <c r="H277" s="16">
        <f t="shared" si="4"/>
        <v>1</v>
      </c>
      <c r="I277" s="8"/>
      <c r="J277" s="8"/>
      <c r="K277" s="8"/>
      <c r="L277" s="10"/>
    </row>
    <row r="278" spans="1:12">
      <c r="A278" s="11"/>
      <c r="B278" s="19">
        <v>35</v>
      </c>
      <c r="C278" s="19">
        <v>37</v>
      </c>
      <c r="D278" s="19">
        <v>0.1</v>
      </c>
      <c r="E278" s="19">
        <v>3</v>
      </c>
      <c r="F278" s="32">
        <v>0</v>
      </c>
      <c r="G278" s="19">
        <v>3</v>
      </c>
      <c r="H278" s="20">
        <f t="shared" si="4"/>
        <v>0.33333333333333331</v>
      </c>
      <c r="I278" s="12"/>
      <c r="J278" s="12"/>
      <c r="K278" s="12">
        <f>SUM(G263:G278)</f>
        <v>69</v>
      </c>
      <c r="L278" s="14">
        <f>SUM(E263:E278)</f>
        <v>50</v>
      </c>
    </row>
    <row r="279" spans="1:12">
      <c r="A279" s="3" t="s">
        <v>53</v>
      </c>
      <c r="B279" s="17">
        <v>36</v>
      </c>
      <c r="C279" s="17">
        <v>37</v>
      </c>
      <c r="D279" s="17">
        <v>0.2</v>
      </c>
      <c r="E279" s="17">
        <v>27</v>
      </c>
      <c r="F279" s="31">
        <v>7</v>
      </c>
      <c r="G279" s="17">
        <v>34</v>
      </c>
      <c r="H279" s="18">
        <f t="shared" si="4"/>
        <v>2.9411764705882353E-2</v>
      </c>
      <c r="I279" s="5">
        <f>7/147</f>
        <v>4.7619047619047616E-2</v>
      </c>
      <c r="J279" s="5">
        <f>11/147</f>
        <v>7.4829931972789115E-2</v>
      </c>
      <c r="K279" s="4">
        <v>216</v>
      </c>
      <c r="L279" s="6">
        <v>176</v>
      </c>
    </row>
    <row r="280" spans="1:12">
      <c r="A280" s="7" t="s">
        <v>14</v>
      </c>
      <c r="B280" s="15">
        <v>36</v>
      </c>
      <c r="C280" s="15">
        <v>37</v>
      </c>
      <c r="D280" s="15">
        <v>0.1</v>
      </c>
      <c r="E280" s="15">
        <v>27</v>
      </c>
      <c r="F280" s="30">
        <v>4</v>
      </c>
      <c r="G280" s="15">
        <v>31</v>
      </c>
      <c r="H280" s="16">
        <f t="shared" si="4"/>
        <v>3.2258064516129031E-2</v>
      </c>
      <c r="I280" s="8"/>
      <c r="J280" s="8"/>
      <c r="K280" s="8"/>
      <c r="L280" s="10"/>
    </row>
    <row r="281" spans="1:12">
      <c r="A281" s="7"/>
      <c r="B281" s="15">
        <v>36</v>
      </c>
      <c r="C281" s="15">
        <v>37</v>
      </c>
      <c r="D281" s="15">
        <v>0.1</v>
      </c>
      <c r="E281" s="15">
        <v>1</v>
      </c>
      <c r="F281" s="30">
        <v>0</v>
      </c>
      <c r="G281" s="15">
        <v>1</v>
      </c>
      <c r="H281" s="16">
        <f t="shared" si="4"/>
        <v>1</v>
      </c>
      <c r="I281" s="8"/>
      <c r="J281" s="8"/>
      <c r="K281" s="8"/>
      <c r="L281" s="10"/>
    </row>
    <row r="282" spans="1:12">
      <c r="A282" s="7"/>
      <c r="B282" s="15">
        <v>36</v>
      </c>
      <c r="C282" s="15">
        <v>37</v>
      </c>
      <c r="D282" s="15">
        <v>0.2</v>
      </c>
      <c r="E282" s="15">
        <v>8</v>
      </c>
      <c r="F282" s="30">
        <v>2</v>
      </c>
      <c r="G282" s="15">
        <v>10</v>
      </c>
      <c r="H282" s="16">
        <f t="shared" si="4"/>
        <v>0.1</v>
      </c>
      <c r="I282" s="8"/>
      <c r="J282" s="8"/>
      <c r="K282" s="8"/>
      <c r="L282" s="10"/>
    </row>
    <row r="283" spans="1:12">
      <c r="A283" s="7"/>
      <c r="B283" s="15">
        <v>36</v>
      </c>
      <c r="C283" s="15">
        <v>37</v>
      </c>
      <c r="D283" s="15">
        <v>0.2</v>
      </c>
      <c r="E283" s="15">
        <v>22</v>
      </c>
      <c r="F283" s="30">
        <v>3</v>
      </c>
      <c r="G283" s="15">
        <v>25</v>
      </c>
      <c r="H283" s="16">
        <f t="shared" si="4"/>
        <v>0.04</v>
      </c>
      <c r="I283" s="8"/>
      <c r="J283" s="8"/>
      <c r="K283" s="8"/>
      <c r="L283" s="10"/>
    </row>
    <row r="284" spans="1:12">
      <c r="A284" s="7"/>
      <c r="B284" s="15">
        <v>36</v>
      </c>
      <c r="C284" s="15">
        <v>37</v>
      </c>
      <c r="D284" s="15">
        <v>0.1</v>
      </c>
      <c r="E284" s="15">
        <v>34</v>
      </c>
      <c r="F284" s="30">
        <v>4</v>
      </c>
      <c r="G284" s="15">
        <v>38</v>
      </c>
      <c r="H284" s="16">
        <f t="shared" si="4"/>
        <v>2.6315789473684209E-2</v>
      </c>
      <c r="I284" s="8"/>
      <c r="J284" s="8"/>
      <c r="K284" s="8"/>
      <c r="L284" s="10"/>
    </row>
    <row r="285" spans="1:12">
      <c r="A285" s="11"/>
      <c r="B285" s="19">
        <v>36</v>
      </c>
      <c r="C285" s="19">
        <v>37</v>
      </c>
      <c r="D285" s="19">
        <v>0.2</v>
      </c>
      <c r="E285" s="19">
        <v>7</v>
      </c>
      <c r="F285" s="32">
        <v>1</v>
      </c>
      <c r="G285" s="19">
        <v>8</v>
      </c>
      <c r="H285" s="20">
        <f t="shared" si="4"/>
        <v>0.125</v>
      </c>
      <c r="I285" s="12"/>
      <c r="J285" s="12"/>
      <c r="K285" s="12">
        <f>SUM(G263:G285)</f>
        <v>216</v>
      </c>
      <c r="L285" s="14">
        <f>SUM(E263:E285)</f>
        <v>176</v>
      </c>
    </row>
    <row r="286" spans="1:12">
      <c r="A286" s="3" t="s">
        <v>56</v>
      </c>
      <c r="B286" s="17">
        <v>37</v>
      </c>
      <c r="C286" s="17">
        <v>42</v>
      </c>
      <c r="D286" s="17">
        <v>0.1</v>
      </c>
      <c r="E286" s="17">
        <v>4</v>
      </c>
      <c r="F286" s="31">
        <v>5</v>
      </c>
      <c r="G286" s="17">
        <v>9</v>
      </c>
      <c r="H286" s="18">
        <f t="shared" si="4"/>
        <v>0.1111111111111111</v>
      </c>
      <c r="I286" s="5">
        <f>5/17</f>
        <v>0.29411764705882354</v>
      </c>
      <c r="J286" s="5">
        <f>10/17</f>
        <v>0.58823529411764708</v>
      </c>
      <c r="K286" s="4">
        <v>17</v>
      </c>
      <c r="L286" s="6">
        <v>7</v>
      </c>
    </row>
    <row r="287" spans="1:12">
      <c r="A287" s="7" t="s">
        <v>33</v>
      </c>
      <c r="B287" s="15">
        <v>37</v>
      </c>
      <c r="C287" s="15">
        <v>42</v>
      </c>
      <c r="D287" s="15">
        <v>0.3</v>
      </c>
      <c r="E287" s="15">
        <v>0</v>
      </c>
      <c r="F287" s="30">
        <v>1</v>
      </c>
      <c r="G287" s="15">
        <v>1</v>
      </c>
      <c r="H287" s="16">
        <f t="shared" si="4"/>
        <v>1</v>
      </c>
      <c r="I287" s="8"/>
      <c r="J287" s="8"/>
      <c r="K287" s="8"/>
      <c r="L287" s="10"/>
    </row>
    <row r="288" spans="1:12">
      <c r="A288" s="7"/>
      <c r="B288" s="15">
        <v>37</v>
      </c>
      <c r="C288" s="15">
        <v>42</v>
      </c>
      <c r="D288" s="15">
        <v>0.3</v>
      </c>
      <c r="E288" s="15">
        <v>0</v>
      </c>
      <c r="F288" s="30">
        <v>2</v>
      </c>
      <c r="G288" s="15">
        <v>2</v>
      </c>
      <c r="H288" s="16">
        <f t="shared" si="4"/>
        <v>0.5</v>
      </c>
      <c r="I288" s="8"/>
      <c r="J288" s="8"/>
      <c r="K288" s="8"/>
      <c r="L288" s="10"/>
    </row>
    <row r="289" spans="1:12">
      <c r="A289" s="7"/>
      <c r="B289" s="15">
        <v>37</v>
      </c>
      <c r="C289" s="15">
        <v>42</v>
      </c>
      <c r="D289" s="15">
        <v>0.1</v>
      </c>
      <c r="E289" s="15">
        <v>1</v>
      </c>
      <c r="F289" s="30">
        <v>1</v>
      </c>
      <c r="G289" s="15">
        <v>2</v>
      </c>
      <c r="H289" s="16">
        <f t="shared" si="4"/>
        <v>0.5</v>
      </c>
      <c r="I289" s="8"/>
      <c r="J289" s="8"/>
      <c r="K289" s="8"/>
      <c r="L289" s="10"/>
    </row>
    <row r="290" spans="1:12">
      <c r="A290" s="11"/>
      <c r="B290" s="19">
        <v>37</v>
      </c>
      <c r="C290" s="19">
        <v>42</v>
      </c>
      <c r="D290" s="19">
        <v>0.2</v>
      </c>
      <c r="E290" s="19">
        <v>2</v>
      </c>
      <c r="F290" s="32">
        <v>1</v>
      </c>
      <c r="G290" s="19">
        <v>3</v>
      </c>
      <c r="H290" s="20">
        <f t="shared" si="4"/>
        <v>0.33333333333333331</v>
      </c>
      <c r="I290" s="12"/>
      <c r="J290" s="12"/>
      <c r="K290" s="12">
        <f>SUM(G286:G290)</f>
        <v>17</v>
      </c>
      <c r="L290" s="14">
        <f>SUM(E286:E290)</f>
        <v>7</v>
      </c>
    </row>
    <row r="291" spans="1:12">
      <c r="A291" s="3" t="s">
        <v>56</v>
      </c>
      <c r="B291" s="17">
        <v>38</v>
      </c>
      <c r="C291" s="17">
        <v>42</v>
      </c>
      <c r="D291" s="17">
        <v>0.2</v>
      </c>
      <c r="E291" s="17">
        <v>2</v>
      </c>
      <c r="F291" s="31">
        <v>1</v>
      </c>
      <c r="G291" s="17">
        <v>3</v>
      </c>
      <c r="H291" s="18">
        <f t="shared" si="4"/>
        <v>0.33333333333333331</v>
      </c>
      <c r="I291" s="5">
        <f>8/21</f>
        <v>0.38095238095238093</v>
      </c>
      <c r="J291" s="5">
        <f>9/21</f>
        <v>0.42857142857142855</v>
      </c>
      <c r="K291" s="4">
        <v>38</v>
      </c>
      <c r="L291" s="6">
        <v>19</v>
      </c>
    </row>
    <row r="292" spans="1:12">
      <c r="A292" s="7" t="s">
        <v>18</v>
      </c>
      <c r="B292" s="15">
        <v>38</v>
      </c>
      <c r="C292" s="15">
        <v>42</v>
      </c>
      <c r="D292" s="15">
        <v>0.1</v>
      </c>
      <c r="E292" s="15">
        <v>2</v>
      </c>
      <c r="F292" s="30">
        <v>0</v>
      </c>
      <c r="G292" s="15">
        <v>2</v>
      </c>
      <c r="H292" s="16">
        <f t="shared" si="4"/>
        <v>0.5</v>
      </c>
      <c r="I292" s="8"/>
      <c r="J292" s="8"/>
      <c r="K292" s="8"/>
      <c r="L292" s="10"/>
    </row>
    <row r="293" spans="1:12">
      <c r="A293" s="7"/>
      <c r="B293" s="15">
        <v>38</v>
      </c>
      <c r="C293" s="15">
        <v>42</v>
      </c>
      <c r="D293" s="15">
        <v>0.1</v>
      </c>
      <c r="E293" s="15">
        <v>1</v>
      </c>
      <c r="F293" s="30">
        <v>4</v>
      </c>
      <c r="G293" s="15">
        <v>5</v>
      </c>
      <c r="H293" s="16">
        <f t="shared" si="4"/>
        <v>0.2</v>
      </c>
      <c r="I293" s="8"/>
      <c r="J293" s="8"/>
      <c r="K293" s="8"/>
      <c r="L293" s="10"/>
    </row>
    <row r="294" spans="1:12">
      <c r="A294" s="7"/>
      <c r="B294" s="15">
        <v>38</v>
      </c>
      <c r="C294" s="15">
        <v>42</v>
      </c>
      <c r="D294" s="15">
        <v>0.1</v>
      </c>
      <c r="E294" s="15">
        <v>0</v>
      </c>
      <c r="F294" s="30">
        <v>2</v>
      </c>
      <c r="G294" s="15">
        <v>2</v>
      </c>
      <c r="H294" s="16">
        <f t="shared" si="4"/>
        <v>0.5</v>
      </c>
      <c r="I294" s="8"/>
      <c r="J294" s="8"/>
      <c r="K294" s="8"/>
      <c r="L294" s="10"/>
    </row>
    <row r="295" spans="1:12">
      <c r="A295" s="7"/>
      <c r="B295" s="15">
        <v>38</v>
      </c>
      <c r="C295" s="15">
        <v>42</v>
      </c>
      <c r="D295" s="15">
        <v>0.1</v>
      </c>
      <c r="E295" s="15">
        <v>1</v>
      </c>
      <c r="F295" s="30">
        <v>1</v>
      </c>
      <c r="G295" s="15">
        <v>2</v>
      </c>
      <c r="H295" s="16">
        <f t="shared" si="4"/>
        <v>0.5</v>
      </c>
      <c r="I295" s="8"/>
      <c r="J295" s="8"/>
      <c r="K295" s="8"/>
      <c r="L295" s="10"/>
    </row>
    <row r="296" spans="1:12">
      <c r="A296" s="7"/>
      <c r="B296" s="15">
        <v>38</v>
      </c>
      <c r="C296" s="15">
        <v>42</v>
      </c>
      <c r="D296" s="15">
        <v>0.1</v>
      </c>
      <c r="E296" s="15">
        <v>2</v>
      </c>
      <c r="F296" s="30">
        <v>1</v>
      </c>
      <c r="G296" s="15">
        <v>3</v>
      </c>
      <c r="H296" s="16">
        <f t="shared" si="4"/>
        <v>0.33333333333333331</v>
      </c>
      <c r="I296" s="8"/>
      <c r="J296" s="8"/>
      <c r="K296" s="8"/>
      <c r="L296" s="10"/>
    </row>
    <row r="297" spans="1:12">
      <c r="A297" s="7"/>
      <c r="B297" s="15">
        <v>38</v>
      </c>
      <c r="C297" s="15">
        <v>42</v>
      </c>
      <c r="D297" s="15">
        <v>0.1</v>
      </c>
      <c r="E297" s="15">
        <v>2</v>
      </c>
      <c r="F297" s="30">
        <v>0</v>
      </c>
      <c r="G297" s="15">
        <v>2</v>
      </c>
      <c r="H297" s="16">
        <f t="shared" si="4"/>
        <v>0.5</v>
      </c>
      <c r="I297" s="8"/>
      <c r="J297" s="8"/>
      <c r="K297" s="8"/>
      <c r="L297" s="10"/>
    </row>
    <row r="298" spans="1:12">
      <c r="A298" s="11"/>
      <c r="B298" s="19">
        <v>38</v>
      </c>
      <c r="C298" s="19">
        <v>42</v>
      </c>
      <c r="D298" s="19">
        <v>0.1</v>
      </c>
      <c r="E298" s="19">
        <v>2</v>
      </c>
      <c r="F298" s="32">
        <v>0</v>
      </c>
      <c r="G298" s="19">
        <v>2</v>
      </c>
      <c r="H298" s="20">
        <f t="shared" si="4"/>
        <v>0.5</v>
      </c>
      <c r="I298" s="12"/>
      <c r="J298" s="12"/>
      <c r="K298" s="12">
        <f>SUM(G286:G298)</f>
        <v>38</v>
      </c>
      <c r="L298" s="14">
        <f>SUM(E286:E298)</f>
        <v>19</v>
      </c>
    </row>
    <row r="299" spans="1:12">
      <c r="A299" s="3" t="s">
        <v>56</v>
      </c>
      <c r="B299" s="17">
        <v>39</v>
      </c>
      <c r="C299" s="17">
        <v>42</v>
      </c>
      <c r="D299" s="17">
        <v>0.1</v>
      </c>
      <c r="E299" s="17">
        <v>3</v>
      </c>
      <c r="F299" s="31">
        <v>2</v>
      </c>
      <c r="G299" s="17">
        <v>5</v>
      </c>
      <c r="H299" s="18">
        <f t="shared" si="4"/>
        <v>0.2</v>
      </c>
      <c r="I299" s="5">
        <f>7/26</f>
        <v>0.26923076923076922</v>
      </c>
      <c r="J299" s="5">
        <f>10/26</f>
        <v>0.38461538461538464</v>
      </c>
      <c r="K299" s="4">
        <v>64</v>
      </c>
      <c r="L299" s="6">
        <v>36</v>
      </c>
    </row>
    <row r="300" spans="1:12">
      <c r="A300" s="7" t="s">
        <v>12</v>
      </c>
      <c r="B300" s="15">
        <v>39</v>
      </c>
      <c r="C300" s="15">
        <v>42</v>
      </c>
      <c r="D300" s="15">
        <v>0.3</v>
      </c>
      <c r="E300" s="15">
        <v>4</v>
      </c>
      <c r="F300" s="30">
        <v>0</v>
      </c>
      <c r="G300" s="15">
        <v>4</v>
      </c>
      <c r="H300" s="16">
        <f t="shared" si="4"/>
        <v>0.25</v>
      </c>
      <c r="I300" s="8"/>
      <c r="J300" s="8"/>
      <c r="K300" s="8"/>
      <c r="L300" s="10"/>
    </row>
    <row r="301" spans="1:12">
      <c r="A301" s="7"/>
      <c r="B301" s="15">
        <v>39</v>
      </c>
      <c r="C301" s="15">
        <v>42</v>
      </c>
      <c r="D301" s="15">
        <v>0.1</v>
      </c>
      <c r="E301" s="15">
        <v>2</v>
      </c>
      <c r="F301" s="30">
        <v>2</v>
      </c>
      <c r="G301" s="15">
        <v>4</v>
      </c>
      <c r="H301" s="16">
        <f t="shared" si="4"/>
        <v>0.25</v>
      </c>
      <c r="I301" s="8"/>
      <c r="J301" s="8"/>
      <c r="K301" s="8"/>
      <c r="L301" s="10"/>
    </row>
    <row r="302" spans="1:12">
      <c r="A302" s="7"/>
      <c r="B302" s="15">
        <v>39</v>
      </c>
      <c r="C302" s="15">
        <v>42</v>
      </c>
      <c r="D302" s="15">
        <v>0.1</v>
      </c>
      <c r="E302" s="15">
        <v>3</v>
      </c>
      <c r="F302" s="30">
        <v>0</v>
      </c>
      <c r="G302" s="15">
        <v>3</v>
      </c>
      <c r="H302" s="16">
        <f t="shared" si="4"/>
        <v>0.33333333333333331</v>
      </c>
      <c r="I302" s="8"/>
      <c r="J302" s="8"/>
      <c r="K302" s="8"/>
      <c r="L302" s="10"/>
    </row>
    <row r="303" spans="1:12">
      <c r="A303" s="7"/>
      <c r="B303" s="15">
        <v>39</v>
      </c>
      <c r="C303" s="15">
        <v>42</v>
      </c>
      <c r="D303" s="15">
        <v>0.2</v>
      </c>
      <c r="E303" s="15">
        <v>2</v>
      </c>
      <c r="F303" s="30">
        <v>3</v>
      </c>
      <c r="G303" s="15">
        <v>5</v>
      </c>
      <c r="H303" s="16">
        <f t="shared" si="4"/>
        <v>0.2</v>
      </c>
      <c r="I303" s="8"/>
      <c r="J303" s="8"/>
      <c r="K303" s="8"/>
      <c r="L303" s="10"/>
    </row>
    <row r="304" spans="1:12">
      <c r="A304" s="7"/>
      <c r="B304" s="15">
        <v>39</v>
      </c>
      <c r="C304" s="15">
        <v>42</v>
      </c>
      <c r="D304" s="15">
        <v>0.1</v>
      </c>
      <c r="E304" s="15">
        <v>2</v>
      </c>
      <c r="F304" s="30">
        <v>2</v>
      </c>
      <c r="G304" s="15">
        <v>4</v>
      </c>
      <c r="H304" s="16">
        <f t="shared" si="4"/>
        <v>0.25</v>
      </c>
      <c r="I304" s="8"/>
      <c r="J304" s="8"/>
      <c r="K304" s="8"/>
      <c r="L304" s="10"/>
    </row>
    <row r="305" spans="1:12">
      <c r="A305" s="11"/>
      <c r="B305" s="19">
        <v>39</v>
      </c>
      <c r="C305" s="19">
        <v>42</v>
      </c>
      <c r="D305" s="19">
        <v>0.1</v>
      </c>
      <c r="E305" s="19">
        <v>1</v>
      </c>
      <c r="F305" s="32">
        <v>0</v>
      </c>
      <c r="G305" s="19">
        <v>1</v>
      </c>
      <c r="H305" s="20">
        <f t="shared" si="4"/>
        <v>1</v>
      </c>
      <c r="I305" s="12"/>
      <c r="J305" s="12"/>
      <c r="K305" s="12">
        <f>SUM(G286:G305)</f>
        <v>64</v>
      </c>
      <c r="L305" s="14">
        <f>SUM(E286:E305)</f>
        <v>36</v>
      </c>
    </row>
    <row r="306" spans="1:12">
      <c r="A306" s="3" t="s">
        <v>56</v>
      </c>
      <c r="B306" s="17">
        <v>40</v>
      </c>
      <c r="C306" s="17">
        <v>42</v>
      </c>
      <c r="D306" s="17">
        <v>0.2</v>
      </c>
      <c r="E306" s="17">
        <v>1</v>
      </c>
      <c r="F306" s="31">
        <v>1</v>
      </c>
      <c r="G306" s="17">
        <v>2</v>
      </c>
      <c r="H306" s="18">
        <f t="shared" si="4"/>
        <v>0.5</v>
      </c>
      <c r="I306" s="5">
        <f>9/37</f>
        <v>0.24324324324324326</v>
      </c>
      <c r="J306" s="5">
        <f>10/37</f>
        <v>0.27027027027027029</v>
      </c>
      <c r="K306" s="4">
        <v>101</v>
      </c>
      <c r="L306" s="6">
        <v>64</v>
      </c>
    </row>
    <row r="307" spans="1:12">
      <c r="A307" s="7" t="s">
        <v>13</v>
      </c>
      <c r="B307" s="15">
        <v>40</v>
      </c>
      <c r="C307" s="15">
        <v>42</v>
      </c>
      <c r="D307" s="15">
        <v>0.1</v>
      </c>
      <c r="E307" s="15">
        <v>0</v>
      </c>
      <c r="F307" s="30">
        <v>1</v>
      </c>
      <c r="G307" s="15">
        <v>1</v>
      </c>
      <c r="H307" s="16">
        <f t="shared" si="4"/>
        <v>1</v>
      </c>
      <c r="I307" s="8"/>
      <c r="J307" s="8"/>
      <c r="K307" s="8"/>
      <c r="L307" s="10"/>
    </row>
    <row r="308" spans="1:12">
      <c r="A308" s="7"/>
      <c r="B308" s="15">
        <v>40</v>
      </c>
      <c r="C308" s="15">
        <v>42</v>
      </c>
      <c r="D308" s="15">
        <v>0.1</v>
      </c>
      <c r="E308" s="15">
        <v>2</v>
      </c>
      <c r="F308" s="30">
        <v>0</v>
      </c>
      <c r="G308" s="15">
        <v>2</v>
      </c>
      <c r="H308" s="16">
        <f t="shared" si="4"/>
        <v>0.5</v>
      </c>
      <c r="I308" s="8"/>
      <c r="J308" s="8"/>
      <c r="K308" s="8"/>
      <c r="L308" s="10"/>
    </row>
    <row r="309" spans="1:12">
      <c r="A309" s="7"/>
      <c r="B309" s="15">
        <v>40</v>
      </c>
      <c r="C309" s="15">
        <v>42</v>
      </c>
      <c r="D309" s="15">
        <v>0.1</v>
      </c>
      <c r="E309" s="15">
        <v>4</v>
      </c>
      <c r="F309" s="30">
        <v>0</v>
      </c>
      <c r="G309" s="15">
        <v>4</v>
      </c>
      <c r="H309" s="16">
        <f t="shared" si="4"/>
        <v>0.25</v>
      </c>
      <c r="I309" s="8"/>
      <c r="J309" s="8"/>
      <c r="K309" s="8"/>
      <c r="L309" s="10"/>
    </row>
    <row r="310" spans="1:12">
      <c r="A310" s="7"/>
      <c r="B310" s="15">
        <v>40</v>
      </c>
      <c r="C310" s="15">
        <v>42</v>
      </c>
      <c r="D310" s="15">
        <v>0.1</v>
      </c>
      <c r="E310" s="15">
        <v>0</v>
      </c>
      <c r="F310" s="30">
        <v>1</v>
      </c>
      <c r="G310" s="15">
        <v>1</v>
      </c>
      <c r="H310" s="16">
        <f t="shared" si="4"/>
        <v>1</v>
      </c>
      <c r="I310" s="8"/>
      <c r="J310" s="8"/>
      <c r="K310" s="8"/>
      <c r="L310" s="10"/>
    </row>
    <row r="311" spans="1:12">
      <c r="A311" s="7"/>
      <c r="B311" s="15">
        <v>40</v>
      </c>
      <c r="C311" s="15">
        <v>42</v>
      </c>
      <c r="D311" s="15">
        <v>0.1</v>
      </c>
      <c r="E311" s="15">
        <v>1</v>
      </c>
      <c r="F311" s="30">
        <v>0</v>
      </c>
      <c r="G311" s="15">
        <v>1</v>
      </c>
      <c r="H311" s="16">
        <f t="shared" si="4"/>
        <v>1</v>
      </c>
      <c r="I311" s="8"/>
      <c r="J311" s="8"/>
      <c r="K311" s="8"/>
      <c r="L311" s="10"/>
    </row>
    <row r="312" spans="1:12">
      <c r="A312" s="7"/>
      <c r="B312" s="15">
        <v>40</v>
      </c>
      <c r="C312" s="15">
        <v>42</v>
      </c>
      <c r="D312" s="15">
        <v>0.1</v>
      </c>
      <c r="E312" s="15">
        <v>12</v>
      </c>
      <c r="F312" s="30">
        <v>4</v>
      </c>
      <c r="G312" s="15">
        <v>16</v>
      </c>
      <c r="H312" s="16">
        <f t="shared" si="4"/>
        <v>6.25E-2</v>
      </c>
      <c r="I312" s="8"/>
      <c r="J312" s="8"/>
      <c r="K312" s="8"/>
      <c r="L312" s="10"/>
    </row>
    <row r="313" spans="1:12">
      <c r="A313" s="7"/>
      <c r="B313" s="15">
        <v>40</v>
      </c>
      <c r="C313" s="15">
        <v>42</v>
      </c>
      <c r="D313" s="15">
        <v>0.1</v>
      </c>
      <c r="E313" s="15">
        <v>3</v>
      </c>
      <c r="F313" s="30">
        <v>0</v>
      </c>
      <c r="G313" s="15">
        <v>3</v>
      </c>
      <c r="H313" s="16">
        <f t="shared" si="4"/>
        <v>0.33333333333333331</v>
      </c>
      <c r="I313" s="8"/>
      <c r="J313" s="8"/>
      <c r="K313" s="8"/>
      <c r="L313" s="10"/>
    </row>
    <row r="314" spans="1:12">
      <c r="A314" s="11"/>
      <c r="B314" s="19">
        <v>40</v>
      </c>
      <c r="C314" s="19">
        <v>42</v>
      </c>
      <c r="D314" s="19">
        <v>0.1</v>
      </c>
      <c r="E314" s="19">
        <v>5</v>
      </c>
      <c r="F314" s="32">
        <v>2</v>
      </c>
      <c r="G314" s="19">
        <v>7</v>
      </c>
      <c r="H314" s="20">
        <f t="shared" si="4"/>
        <v>0.14285714285714285</v>
      </c>
      <c r="I314" s="12"/>
      <c r="J314" s="12"/>
      <c r="K314" s="12">
        <f>SUM(G286:G314)</f>
        <v>101</v>
      </c>
      <c r="L314" s="14">
        <f>SUM(E286:E314)</f>
        <v>64</v>
      </c>
    </row>
    <row r="315" spans="1:12">
      <c r="A315" s="3" t="s">
        <v>56</v>
      </c>
      <c r="B315" s="17">
        <v>41</v>
      </c>
      <c r="C315" s="17">
        <v>42</v>
      </c>
      <c r="D315" s="17">
        <v>0.1</v>
      </c>
      <c r="E315" s="17">
        <v>1</v>
      </c>
      <c r="F315" s="31">
        <v>0</v>
      </c>
      <c r="G315" s="17">
        <v>1</v>
      </c>
      <c r="H315" s="18">
        <f t="shared" si="4"/>
        <v>1</v>
      </c>
      <c r="I315" s="5">
        <f>9/90</f>
        <v>0.1</v>
      </c>
      <c r="J315" s="5">
        <f>11/90</f>
        <v>0.12222222222222222</v>
      </c>
      <c r="K315" s="4">
        <v>191</v>
      </c>
      <c r="L315" s="6">
        <v>146</v>
      </c>
    </row>
    <row r="316" spans="1:12">
      <c r="A316" s="7" t="s">
        <v>14</v>
      </c>
      <c r="B316" s="15">
        <v>41</v>
      </c>
      <c r="C316" s="15">
        <v>42</v>
      </c>
      <c r="D316" s="15">
        <v>0.1</v>
      </c>
      <c r="E316" s="15">
        <v>5</v>
      </c>
      <c r="F316" s="30">
        <v>0</v>
      </c>
      <c r="G316" s="15">
        <v>5</v>
      </c>
      <c r="H316" s="16">
        <f t="shared" si="4"/>
        <v>0.2</v>
      </c>
      <c r="I316" s="8"/>
      <c r="J316" s="8"/>
      <c r="K316" s="8"/>
      <c r="L316" s="10"/>
    </row>
    <row r="317" spans="1:12">
      <c r="A317" s="7"/>
      <c r="B317" s="15">
        <v>41</v>
      </c>
      <c r="C317" s="15">
        <v>42</v>
      </c>
      <c r="D317" s="15">
        <v>0.1</v>
      </c>
      <c r="E317" s="15">
        <v>10</v>
      </c>
      <c r="F317" s="30">
        <v>3</v>
      </c>
      <c r="G317" s="15">
        <v>13</v>
      </c>
      <c r="H317" s="16">
        <f t="shared" si="4"/>
        <v>7.6923076923076927E-2</v>
      </c>
      <c r="I317" s="8"/>
      <c r="J317" s="8"/>
      <c r="K317" s="8"/>
      <c r="L317" s="10"/>
    </row>
    <row r="318" spans="1:12">
      <c r="A318" s="7"/>
      <c r="B318" s="15">
        <v>41</v>
      </c>
      <c r="C318" s="15">
        <v>42</v>
      </c>
      <c r="D318" s="15">
        <v>0.1</v>
      </c>
      <c r="E318" s="15">
        <v>15</v>
      </c>
      <c r="F318" s="30">
        <v>3</v>
      </c>
      <c r="G318" s="15">
        <v>18</v>
      </c>
      <c r="H318" s="16">
        <f t="shared" si="4"/>
        <v>5.5555555555555552E-2</v>
      </c>
      <c r="I318" s="8"/>
      <c r="J318" s="8"/>
      <c r="K318" s="8"/>
      <c r="L318" s="10"/>
    </row>
    <row r="319" spans="1:12">
      <c r="A319" s="7"/>
      <c r="B319" s="15">
        <v>41</v>
      </c>
      <c r="C319" s="15">
        <v>42</v>
      </c>
      <c r="D319" s="15">
        <v>0.2</v>
      </c>
      <c r="E319" s="15">
        <v>17</v>
      </c>
      <c r="F319" s="30">
        <v>0</v>
      </c>
      <c r="G319" s="15">
        <v>17</v>
      </c>
      <c r="H319" s="16">
        <f t="shared" si="4"/>
        <v>5.8823529411764705E-2</v>
      </c>
      <c r="I319" s="8"/>
      <c r="J319" s="8"/>
      <c r="K319" s="8"/>
      <c r="L319" s="10"/>
    </row>
    <row r="320" spans="1:12">
      <c r="A320" s="7"/>
      <c r="B320" s="15">
        <v>41</v>
      </c>
      <c r="C320" s="15">
        <v>42</v>
      </c>
      <c r="D320" s="15">
        <v>0.1</v>
      </c>
      <c r="E320" s="15">
        <v>13</v>
      </c>
      <c r="F320" s="30">
        <v>1</v>
      </c>
      <c r="G320" s="15">
        <v>14</v>
      </c>
      <c r="H320" s="16">
        <f t="shared" si="4"/>
        <v>7.1428571428571425E-2</v>
      </c>
      <c r="I320" s="8"/>
      <c r="J320" s="8"/>
      <c r="K320" s="8"/>
      <c r="L320" s="10"/>
    </row>
    <row r="321" spans="1:12">
      <c r="A321" s="7"/>
      <c r="B321" s="15">
        <v>41</v>
      </c>
      <c r="C321" s="15">
        <v>42</v>
      </c>
      <c r="D321" s="15">
        <v>0.1</v>
      </c>
      <c r="E321" s="15">
        <v>1</v>
      </c>
      <c r="F321" s="30">
        <v>0</v>
      </c>
      <c r="G321" s="15">
        <v>1</v>
      </c>
      <c r="H321" s="16">
        <f t="shared" si="4"/>
        <v>1</v>
      </c>
      <c r="I321" s="8"/>
      <c r="J321" s="8"/>
      <c r="K321" s="8"/>
      <c r="L321" s="10"/>
    </row>
    <row r="322" spans="1:12">
      <c r="A322" s="7"/>
      <c r="B322" s="15">
        <v>41</v>
      </c>
      <c r="C322" s="15">
        <v>42</v>
      </c>
      <c r="D322" s="15">
        <v>0.1</v>
      </c>
      <c r="E322" s="15">
        <v>6</v>
      </c>
      <c r="F322" s="30">
        <v>0</v>
      </c>
      <c r="G322" s="15">
        <v>6</v>
      </c>
      <c r="H322" s="16">
        <f t="shared" ref="H322:H385" si="5">1/G322</f>
        <v>0.16666666666666666</v>
      </c>
      <c r="I322" s="8"/>
      <c r="J322" s="8"/>
      <c r="K322" s="8"/>
      <c r="L322" s="10"/>
    </row>
    <row r="323" spans="1:12">
      <c r="A323" s="11"/>
      <c r="B323" s="19">
        <v>41</v>
      </c>
      <c r="C323" s="19">
        <v>42</v>
      </c>
      <c r="D323" s="19">
        <v>0.2</v>
      </c>
      <c r="E323" s="19">
        <v>14</v>
      </c>
      <c r="F323" s="32">
        <v>1</v>
      </c>
      <c r="G323" s="19">
        <v>15</v>
      </c>
      <c r="H323" s="20">
        <f t="shared" si="5"/>
        <v>6.6666666666666666E-2</v>
      </c>
      <c r="I323" s="12"/>
      <c r="J323" s="12"/>
      <c r="K323" s="12">
        <f>SUM(G286:G323)</f>
        <v>191</v>
      </c>
      <c r="L323" s="14">
        <f>SUM(E286:E323)</f>
        <v>146</v>
      </c>
    </row>
    <row r="324" spans="1:12">
      <c r="A324" s="3" t="s">
        <v>63</v>
      </c>
      <c r="B324" s="17">
        <v>42</v>
      </c>
      <c r="C324" s="17">
        <v>44</v>
      </c>
      <c r="D324" s="17">
        <v>0.1</v>
      </c>
      <c r="E324" s="17">
        <v>14</v>
      </c>
      <c r="F324" s="31">
        <v>6</v>
      </c>
      <c r="G324" s="17">
        <v>20</v>
      </c>
      <c r="H324" s="18">
        <f t="shared" si="5"/>
        <v>0.05</v>
      </c>
      <c r="I324" s="5">
        <f>8/89</f>
        <v>8.98876404494382E-2</v>
      </c>
      <c r="J324" s="5">
        <f>9/89</f>
        <v>0.10112359550561797</v>
      </c>
      <c r="K324" s="4">
        <v>89</v>
      </c>
      <c r="L324" s="6">
        <v>69</v>
      </c>
    </row>
    <row r="325" spans="1:12">
      <c r="A325" s="7" t="s">
        <v>13</v>
      </c>
      <c r="B325" s="15">
        <v>42</v>
      </c>
      <c r="C325" s="15">
        <v>44</v>
      </c>
      <c r="D325" s="15">
        <v>0.1</v>
      </c>
      <c r="E325" s="15">
        <v>1</v>
      </c>
      <c r="F325" s="30">
        <v>0</v>
      </c>
      <c r="G325" s="15">
        <v>1</v>
      </c>
      <c r="H325" s="16">
        <f t="shared" si="5"/>
        <v>1</v>
      </c>
      <c r="I325" s="8"/>
      <c r="J325" s="8"/>
      <c r="K325" s="8"/>
      <c r="L325" s="10"/>
    </row>
    <row r="326" spans="1:12">
      <c r="A326" s="7"/>
      <c r="B326" s="15">
        <v>42</v>
      </c>
      <c r="C326" s="15">
        <v>44</v>
      </c>
      <c r="D326" s="15">
        <v>0.1</v>
      </c>
      <c r="E326" s="15">
        <v>20</v>
      </c>
      <c r="F326" s="30">
        <v>4</v>
      </c>
      <c r="G326" s="15">
        <v>24</v>
      </c>
      <c r="H326" s="16">
        <f t="shared" si="5"/>
        <v>4.1666666666666664E-2</v>
      </c>
      <c r="I326" s="8"/>
      <c r="J326" s="8"/>
      <c r="K326" s="8"/>
      <c r="L326" s="10"/>
    </row>
    <row r="327" spans="1:12">
      <c r="A327" s="7"/>
      <c r="B327" s="15">
        <v>42</v>
      </c>
      <c r="C327" s="15">
        <v>44</v>
      </c>
      <c r="D327" s="15">
        <v>0.1</v>
      </c>
      <c r="E327" s="15">
        <v>1</v>
      </c>
      <c r="F327" s="30">
        <v>1</v>
      </c>
      <c r="G327" s="15">
        <v>2</v>
      </c>
      <c r="H327" s="16">
        <f t="shared" si="5"/>
        <v>0.5</v>
      </c>
      <c r="I327" s="8"/>
      <c r="J327" s="8"/>
      <c r="K327" s="8"/>
      <c r="L327" s="10"/>
    </row>
    <row r="328" spans="1:12">
      <c r="A328" s="7"/>
      <c r="B328" s="15">
        <v>42</v>
      </c>
      <c r="C328" s="15">
        <v>44</v>
      </c>
      <c r="D328" s="15">
        <v>0.1</v>
      </c>
      <c r="E328" s="15">
        <v>4</v>
      </c>
      <c r="F328" s="30">
        <v>0</v>
      </c>
      <c r="G328" s="15">
        <v>4</v>
      </c>
      <c r="H328" s="16">
        <f t="shared" si="5"/>
        <v>0.25</v>
      </c>
      <c r="I328" s="8"/>
      <c r="J328" s="8"/>
      <c r="K328" s="8"/>
      <c r="L328" s="10"/>
    </row>
    <row r="329" spans="1:12">
      <c r="A329" s="7"/>
      <c r="B329" s="15">
        <v>42</v>
      </c>
      <c r="C329" s="15">
        <v>44</v>
      </c>
      <c r="D329" s="15">
        <v>0.1</v>
      </c>
      <c r="E329" s="15">
        <v>10</v>
      </c>
      <c r="F329" s="30">
        <v>3</v>
      </c>
      <c r="G329" s="15">
        <v>13</v>
      </c>
      <c r="H329" s="16">
        <f t="shared" si="5"/>
        <v>7.6923076923076927E-2</v>
      </c>
      <c r="I329" s="8"/>
      <c r="J329" s="8"/>
      <c r="K329" s="8"/>
      <c r="L329" s="10"/>
    </row>
    <row r="330" spans="1:12">
      <c r="A330" s="7"/>
      <c r="B330" s="15">
        <v>42</v>
      </c>
      <c r="C330" s="15">
        <v>44</v>
      </c>
      <c r="D330" s="15">
        <v>0.2</v>
      </c>
      <c r="E330" s="15">
        <v>4</v>
      </c>
      <c r="F330" s="30">
        <v>2</v>
      </c>
      <c r="G330" s="15">
        <v>6</v>
      </c>
      <c r="H330" s="16">
        <f t="shared" si="5"/>
        <v>0.16666666666666666</v>
      </c>
      <c r="I330" s="8"/>
      <c r="J330" s="8"/>
      <c r="K330" s="8"/>
      <c r="L330" s="10"/>
    </row>
    <row r="331" spans="1:12">
      <c r="A331" s="11"/>
      <c r="B331" s="19">
        <v>42</v>
      </c>
      <c r="C331" s="19">
        <v>44</v>
      </c>
      <c r="D331" s="19">
        <v>0.1</v>
      </c>
      <c r="E331" s="19">
        <v>15</v>
      </c>
      <c r="F331" s="32">
        <v>4</v>
      </c>
      <c r="G331" s="19">
        <v>19</v>
      </c>
      <c r="H331" s="20">
        <f t="shared" si="5"/>
        <v>5.2631578947368418E-2</v>
      </c>
      <c r="I331" s="12"/>
      <c r="J331" s="12"/>
      <c r="K331" s="12">
        <f>SUM(G324:G331)</f>
        <v>89</v>
      </c>
      <c r="L331" s="14">
        <f>SUM(E324:E331)</f>
        <v>69</v>
      </c>
    </row>
    <row r="332" spans="1:12">
      <c r="A332" s="3" t="s">
        <v>63</v>
      </c>
      <c r="B332" s="17">
        <v>43</v>
      </c>
      <c r="C332" s="17">
        <v>44</v>
      </c>
      <c r="D332" s="17">
        <v>0.1</v>
      </c>
      <c r="E332" s="17">
        <v>7</v>
      </c>
      <c r="F332" s="31">
        <v>0</v>
      </c>
      <c r="G332" s="17">
        <v>7</v>
      </c>
      <c r="H332" s="18">
        <f t="shared" si="5"/>
        <v>0.14285714285714285</v>
      </c>
      <c r="I332" s="5">
        <f>10/133</f>
        <v>7.5187969924812026E-2</v>
      </c>
      <c r="J332" s="5">
        <f>10/133</f>
        <v>7.5187969924812026E-2</v>
      </c>
      <c r="K332" s="4">
        <v>222</v>
      </c>
      <c r="L332" s="6">
        <v>176</v>
      </c>
    </row>
    <row r="333" spans="1:12">
      <c r="A333" s="7" t="s">
        <v>14</v>
      </c>
      <c r="B333" s="15">
        <v>43</v>
      </c>
      <c r="C333" s="15">
        <v>44</v>
      </c>
      <c r="D333" s="15">
        <v>0.1</v>
      </c>
      <c r="E333" s="15">
        <v>14</v>
      </c>
      <c r="F333" s="30">
        <v>2</v>
      </c>
      <c r="G333" s="15">
        <v>16</v>
      </c>
      <c r="H333" s="16">
        <f t="shared" si="5"/>
        <v>6.25E-2</v>
      </c>
      <c r="I333" s="8"/>
      <c r="J333" s="8"/>
      <c r="K333" s="8"/>
      <c r="L333" s="10"/>
    </row>
    <row r="334" spans="1:12">
      <c r="A334" s="7"/>
      <c r="B334" s="15">
        <v>43</v>
      </c>
      <c r="C334" s="15">
        <v>44</v>
      </c>
      <c r="D334" s="15">
        <v>0.1</v>
      </c>
      <c r="E334" s="15">
        <v>20</v>
      </c>
      <c r="F334" s="30">
        <v>3</v>
      </c>
      <c r="G334" s="15">
        <v>23</v>
      </c>
      <c r="H334" s="16">
        <f t="shared" si="5"/>
        <v>4.3478260869565216E-2</v>
      </c>
      <c r="I334" s="8"/>
      <c r="J334" s="8"/>
      <c r="K334" s="8"/>
      <c r="L334" s="10"/>
    </row>
    <row r="335" spans="1:12">
      <c r="A335" s="7"/>
      <c r="B335" s="15">
        <v>43</v>
      </c>
      <c r="C335" s="15">
        <v>44</v>
      </c>
      <c r="D335" s="15">
        <v>0.1</v>
      </c>
      <c r="E335" s="15">
        <v>12</v>
      </c>
      <c r="F335" s="30">
        <v>2</v>
      </c>
      <c r="G335" s="15">
        <v>14</v>
      </c>
      <c r="H335" s="16">
        <f t="shared" si="5"/>
        <v>7.1428571428571425E-2</v>
      </c>
      <c r="I335" s="8"/>
      <c r="J335" s="8"/>
      <c r="K335" s="8"/>
      <c r="L335" s="10"/>
    </row>
    <row r="336" spans="1:12">
      <c r="A336" s="7"/>
      <c r="B336" s="15">
        <v>43</v>
      </c>
      <c r="C336" s="15">
        <v>44</v>
      </c>
      <c r="D336" s="15">
        <v>0.1</v>
      </c>
      <c r="E336" s="15">
        <v>1</v>
      </c>
      <c r="F336" s="30">
        <v>0</v>
      </c>
      <c r="G336" s="15">
        <v>1</v>
      </c>
      <c r="H336" s="16">
        <f t="shared" si="5"/>
        <v>1</v>
      </c>
      <c r="I336" s="8"/>
      <c r="J336" s="8"/>
      <c r="K336" s="8"/>
      <c r="L336" s="10"/>
    </row>
    <row r="337" spans="1:12">
      <c r="A337" s="7"/>
      <c r="B337" s="15">
        <v>43</v>
      </c>
      <c r="C337" s="15">
        <v>44</v>
      </c>
      <c r="D337" s="15">
        <v>0.1</v>
      </c>
      <c r="E337" s="15">
        <v>8</v>
      </c>
      <c r="F337" s="30">
        <v>2</v>
      </c>
      <c r="G337" s="15">
        <v>10</v>
      </c>
      <c r="H337" s="16">
        <f t="shared" si="5"/>
        <v>0.1</v>
      </c>
      <c r="I337" s="8"/>
      <c r="J337" s="8"/>
      <c r="K337" s="8"/>
      <c r="L337" s="10"/>
    </row>
    <row r="338" spans="1:12">
      <c r="A338" s="7"/>
      <c r="B338" s="15">
        <v>43</v>
      </c>
      <c r="C338" s="15">
        <v>44</v>
      </c>
      <c r="D338" s="15">
        <v>0.1</v>
      </c>
      <c r="E338" s="15">
        <v>36</v>
      </c>
      <c r="F338" s="30">
        <v>13</v>
      </c>
      <c r="G338" s="15">
        <v>49</v>
      </c>
      <c r="H338" s="16">
        <f t="shared" si="5"/>
        <v>2.0408163265306121E-2</v>
      </c>
      <c r="I338" s="8"/>
      <c r="J338" s="8"/>
      <c r="K338" s="8"/>
      <c r="L338" s="10"/>
    </row>
    <row r="339" spans="1:12">
      <c r="A339" s="7"/>
      <c r="B339" s="15">
        <v>43</v>
      </c>
      <c r="C339" s="15">
        <v>44</v>
      </c>
      <c r="D339" s="15">
        <v>0.1</v>
      </c>
      <c r="E339" s="15">
        <v>6</v>
      </c>
      <c r="F339" s="30">
        <v>2</v>
      </c>
      <c r="G339" s="15">
        <v>8</v>
      </c>
      <c r="H339" s="16">
        <f t="shared" si="5"/>
        <v>0.125</v>
      </c>
      <c r="I339" s="8"/>
      <c r="J339" s="8"/>
      <c r="K339" s="8"/>
      <c r="L339" s="10"/>
    </row>
    <row r="340" spans="1:12">
      <c r="A340" s="7"/>
      <c r="B340" s="15">
        <v>43</v>
      </c>
      <c r="C340" s="15">
        <v>44</v>
      </c>
      <c r="D340" s="15">
        <v>0.1</v>
      </c>
      <c r="E340" s="15">
        <v>2</v>
      </c>
      <c r="F340" s="30">
        <v>2</v>
      </c>
      <c r="G340" s="15">
        <v>4</v>
      </c>
      <c r="H340" s="16">
        <f t="shared" si="5"/>
        <v>0.25</v>
      </c>
      <c r="I340" s="8"/>
      <c r="J340" s="8"/>
      <c r="K340" s="8"/>
      <c r="L340" s="10"/>
    </row>
    <row r="341" spans="1:12">
      <c r="A341" s="11"/>
      <c r="B341" s="19">
        <v>43</v>
      </c>
      <c r="C341" s="19">
        <v>44</v>
      </c>
      <c r="D341" s="19">
        <v>0.1</v>
      </c>
      <c r="E341" s="19">
        <v>1</v>
      </c>
      <c r="F341" s="32">
        <v>0</v>
      </c>
      <c r="G341" s="19">
        <v>1</v>
      </c>
      <c r="H341" s="20">
        <f t="shared" si="5"/>
        <v>1</v>
      </c>
      <c r="I341" s="12"/>
      <c r="J341" s="12"/>
      <c r="K341" s="12">
        <f>SUM(G324:G341)</f>
        <v>222</v>
      </c>
      <c r="L341" s="14">
        <f>SUM(E324:E341)</f>
        <v>176</v>
      </c>
    </row>
    <row r="342" spans="1:12">
      <c r="A342" s="3" t="s">
        <v>72</v>
      </c>
      <c r="B342" s="17">
        <v>44</v>
      </c>
      <c r="C342" s="17">
        <v>50</v>
      </c>
      <c r="D342" s="17">
        <v>0.4</v>
      </c>
      <c r="E342" s="17">
        <v>1</v>
      </c>
      <c r="F342" s="25">
        <v>1</v>
      </c>
      <c r="G342" s="17">
        <v>1</v>
      </c>
      <c r="H342" s="18">
        <f t="shared" si="5"/>
        <v>1</v>
      </c>
      <c r="I342" s="5">
        <f>6/8</f>
        <v>0.75</v>
      </c>
      <c r="J342" s="5">
        <f>10/8</f>
        <v>1.25</v>
      </c>
      <c r="K342" s="4">
        <v>8</v>
      </c>
      <c r="L342" s="6">
        <v>8</v>
      </c>
    </row>
    <row r="343" spans="1:12">
      <c r="A343" s="7" t="s">
        <v>32</v>
      </c>
      <c r="B343" s="15">
        <v>44</v>
      </c>
      <c r="C343" s="15">
        <v>50</v>
      </c>
      <c r="D343" s="15">
        <v>0.1</v>
      </c>
      <c r="E343" s="15">
        <v>1</v>
      </c>
      <c r="F343" s="24">
        <v>1</v>
      </c>
      <c r="G343" s="15">
        <v>1</v>
      </c>
      <c r="H343" s="16">
        <f t="shared" si="5"/>
        <v>1</v>
      </c>
      <c r="I343" s="27">
        <f>6/24</f>
        <v>0.25</v>
      </c>
      <c r="J343" s="27">
        <f>10/24</f>
        <v>0.41666666666666669</v>
      </c>
      <c r="K343" s="8"/>
      <c r="L343" s="10"/>
    </row>
    <row r="344" spans="1:12">
      <c r="A344" s="7"/>
      <c r="B344" s="15">
        <v>44</v>
      </c>
      <c r="C344" s="15">
        <v>50</v>
      </c>
      <c r="D344" s="15">
        <v>0.1</v>
      </c>
      <c r="E344" s="15">
        <v>1</v>
      </c>
      <c r="F344" s="24">
        <v>6</v>
      </c>
      <c r="G344" s="15">
        <v>1</v>
      </c>
      <c r="H344" s="16">
        <f t="shared" si="5"/>
        <v>1</v>
      </c>
      <c r="I344" s="8"/>
      <c r="J344" s="8"/>
      <c r="K344" s="8"/>
      <c r="L344" s="10"/>
    </row>
    <row r="345" spans="1:12">
      <c r="A345" s="7"/>
      <c r="B345" s="15">
        <v>44</v>
      </c>
      <c r="C345" s="15">
        <v>50</v>
      </c>
      <c r="D345" s="15">
        <v>0.1</v>
      </c>
      <c r="E345" s="15">
        <v>1</v>
      </c>
      <c r="F345" s="24">
        <v>0</v>
      </c>
      <c r="G345" s="15">
        <v>1</v>
      </c>
      <c r="H345" s="16">
        <f t="shared" si="5"/>
        <v>1</v>
      </c>
      <c r="I345" s="8"/>
      <c r="J345" s="8"/>
      <c r="K345" s="8"/>
      <c r="L345" s="10"/>
    </row>
    <row r="346" spans="1:12">
      <c r="A346" s="7"/>
      <c r="B346" s="15">
        <v>44</v>
      </c>
      <c r="C346" s="15">
        <v>50</v>
      </c>
      <c r="D346" s="15">
        <v>0.2</v>
      </c>
      <c r="E346" s="15">
        <v>1</v>
      </c>
      <c r="F346" s="24">
        <v>0</v>
      </c>
      <c r="G346" s="15">
        <v>1</v>
      </c>
      <c r="H346" s="16">
        <f t="shared" si="5"/>
        <v>1</v>
      </c>
      <c r="I346" s="8"/>
      <c r="J346" s="8"/>
      <c r="K346" s="8"/>
      <c r="L346" s="10"/>
    </row>
    <row r="347" spans="1:12">
      <c r="A347" s="11"/>
      <c r="B347" s="19">
        <v>44</v>
      </c>
      <c r="C347" s="19">
        <v>50</v>
      </c>
      <c r="D347" s="19">
        <v>0.1</v>
      </c>
      <c r="E347" s="19">
        <v>3</v>
      </c>
      <c r="F347" s="29">
        <v>8</v>
      </c>
      <c r="G347" s="19">
        <v>3</v>
      </c>
      <c r="H347" s="20">
        <f t="shared" si="5"/>
        <v>0.33333333333333331</v>
      </c>
      <c r="I347" s="12"/>
      <c r="J347" s="12"/>
      <c r="K347" s="12">
        <f>SUM(E342:E347)</f>
        <v>8</v>
      </c>
      <c r="L347" s="14">
        <f>SUM(G342:G347)</f>
        <v>8</v>
      </c>
    </row>
    <row r="348" spans="1:12">
      <c r="A348" s="3" t="s">
        <v>72</v>
      </c>
      <c r="B348" s="17">
        <v>45</v>
      </c>
      <c r="C348" s="17">
        <v>50</v>
      </c>
      <c r="D348" s="17">
        <v>0.3</v>
      </c>
      <c r="E348" s="17">
        <v>3</v>
      </c>
      <c r="F348" s="31">
        <v>2</v>
      </c>
      <c r="G348" s="17">
        <v>5</v>
      </c>
      <c r="H348" s="18">
        <f t="shared" si="5"/>
        <v>0.2</v>
      </c>
      <c r="I348" s="5">
        <f>6/15</f>
        <v>0.4</v>
      </c>
      <c r="J348" s="5">
        <f>10/15</f>
        <v>0.66666666666666663</v>
      </c>
      <c r="K348" s="4">
        <v>23</v>
      </c>
      <c r="L348" s="6">
        <v>17</v>
      </c>
    </row>
    <row r="349" spans="1:12">
      <c r="A349" s="7" t="s">
        <v>33</v>
      </c>
      <c r="B349" s="15">
        <v>45</v>
      </c>
      <c r="C349" s="15">
        <v>50</v>
      </c>
      <c r="D349" s="15">
        <v>0.1</v>
      </c>
      <c r="E349" s="15">
        <v>1</v>
      </c>
      <c r="F349" s="30">
        <v>0</v>
      </c>
      <c r="G349" s="15">
        <v>1</v>
      </c>
      <c r="H349" s="16">
        <f t="shared" si="5"/>
        <v>1</v>
      </c>
      <c r="I349" s="8"/>
      <c r="J349" s="8"/>
      <c r="K349" s="8"/>
      <c r="L349" s="10"/>
    </row>
    <row r="350" spans="1:12">
      <c r="A350" s="7"/>
      <c r="B350" s="15">
        <v>45</v>
      </c>
      <c r="C350" s="15">
        <v>50</v>
      </c>
      <c r="D350" s="15">
        <v>0.1</v>
      </c>
      <c r="E350" s="15">
        <v>1</v>
      </c>
      <c r="F350" s="30">
        <v>1</v>
      </c>
      <c r="G350" s="15">
        <v>2</v>
      </c>
      <c r="H350" s="16">
        <f t="shared" si="5"/>
        <v>0.5</v>
      </c>
      <c r="I350" s="8"/>
      <c r="J350" s="8"/>
      <c r="K350" s="8"/>
      <c r="L350" s="10"/>
    </row>
    <row r="351" spans="1:12">
      <c r="A351" s="7"/>
      <c r="B351" s="15">
        <v>45</v>
      </c>
      <c r="C351" s="15">
        <v>50</v>
      </c>
      <c r="D351" s="15">
        <v>0.1</v>
      </c>
      <c r="E351" s="15">
        <v>1</v>
      </c>
      <c r="F351" s="30">
        <v>0</v>
      </c>
      <c r="G351" s="15">
        <v>1</v>
      </c>
      <c r="H351" s="16">
        <f t="shared" si="5"/>
        <v>1</v>
      </c>
      <c r="I351" s="8"/>
      <c r="J351" s="8"/>
      <c r="K351" s="8"/>
      <c r="L351" s="10"/>
    </row>
    <row r="352" spans="1:12">
      <c r="A352" s="7"/>
      <c r="B352" s="15">
        <v>45</v>
      </c>
      <c r="C352" s="15">
        <v>50</v>
      </c>
      <c r="D352" s="15">
        <v>0.1</v>
      </c>
      <c r="E352" s="15">
        <v>1</v>
      </c>
      <c r="F352" s="30">
        <v>0</v>
      </c>
      <c r="G352" s="15">
        <v>1</v>
      </c>
      <c r="H352" s="16">
        <f t="shared" si="5"/>
        <v>1</v>
      </c>
      <c r="I352" s="8"/>
      <c r="J352" s="8"/>
      <c r="K352" s="8"/>
      <c r="L352" s="10"/>
    </row>
    <row r="353" spans="1:12">
      <c r="A353" s="11"/>
      <c r="B353" s="19">
        <v>45</v>
      </c>
      <c r="C353" s="19">
        <v>50</v>
      </c>
      <c r="D353" s="19">
        <v>0.3</v>
      </c>
      <c r="E353" s="19">
        <v>2</v>
      </c>
      <c r="F353" s="32">
        <v>3</v>
      </c>
      <c r="G353" s="19">
        <v>5</v>
      </c>
      <c r="H353" s="20">
        <f t="shared" si="5"/>
        <v>0.2</v>
      </c>
      <c r="I353" s="12"/>
      <c r="J353" s="12"/>
      <c r="K353" s="12">
        <f>SUM(G342:G353)</f>
        <v>23</v>
      </c>
      <c r="L353" s="14">
        <f>SUM(E342:E353)</f>
        <v>17</v>
      </c>
    </row>
    <row r="354" spans="1:12">
      <c r="A354" s="3" t="s">
        <v>72</v>
      </c>
      <c r="B354" s="17">
        <v>46</v>
      </c>
      <c r="C354" s="17">
        <v>50</v>
      </c>
      <c r="D354" s="17">
        <v>0.1</v>
      </c>
      <c r="E354" s="17">
        <v>1</v>
      </c>
      <c r="F354" s="31">
        <v>0</v>
      </c>
      <c r="G354" s="17">
        <v>1</v>
      </c>
      <c r="H354" s="18">
        <f t="shared" si="5"/>
        <v>1</v>
      </c>
      <c r="I354" s="5">
        <f>8/25</f>
        <v>0.32</v>
      </c>
      <c r="J354" s="5">
        <f>10/25</f>
        <v>0.4</v>
      </c>
      <c r="K354" s="4">
        <v>48</v>
      </c>
      <c r="L354" s="6">
        <v>30</v>
      </c>
    </row>
    <row r="355" spans="1:12">
      <c r="A355" s="7" t="s">
        <v>18</v>
      </c>
      <c r="B355" s="15">
        <v>46</v>
      </c>
      <c r="C355" s="15">
        <v>50</v>
      </c>
      <c r="D355" s="15">
        <v>0.1</v>
      </c>
      <c r="E355" s="15">
        <v>0</v>
      </c>
      <c r="F355" s="30">
        <v>7</v>
      </c>
      <c r="G355" s="15">
        <v>7</v>
      </c>
      <c r="H355" s="16">
        <f t="shared" si="5"/>
        <v>0.14285714285714285</v>
      </c>
      <c r="I355" s="8"/>
      <c r="J355" s="8"/>
      <c r="K355" s="8"/>
      <c r="L355" s="10"/>
    </row>
    <row r="356" spans="1:12">
      <c r="A356" s="7"/>
      <c r="B356" s="15">
        <v>46</v>
      </c>
      <c r="C356" s="15">
        <v>50</v>
      </c>
      <c r="D356" s="15">
        <v>0.2</v>
      </c>
      <c r="E356" s="15">
        <v>3</v>
      </c>
      <c r="F356" s="30">
        <v>0</v>
      </c>
      <c r="G356" s="15">
        <v>3</v>
      </c>
      <c r="H356" s="16">
        <f t="shared" si="5"/>
        <v>0.33333333333333331</v>
      </c>
      <c r="I356" s="8"/>
      <c r="J356" s="8"/>
      <c r="K356" s="8"/>
      <c r="L356" s="10"/>
    </row>
    <row r="357" spans="1:12">
      <c r="A357" s="7"/>
      <c r="B357" s="15">
        <v>46</v>
      </c>
      <c r="C357" s="15">
        <v>50</v>
      </c>
      <c r="D357" s="15">
        <v>0.1</v>
      </c>
      <c r="E357" s="15">
        <v>2</v>
      </c>
      <c r="F357" s="30">
        <v>0</v>
      </c>
      <c r="G357" s="15">
        <v>2</v>
      </c>
      <c r="H357" s="16">
        <f t="shared" si="5"/>
        <v>0.5</v>
      </c>
      <c r="I357" s="8"/>
      <c r="J357" s="8"/>
      <c r="K357" s="8"/>
      <c r="L357" s="10"/>
    </row>
    <row r="358" spans="1:12">
      <c r="A358" s="7"/>
      <c r="B358" s="15">
        <v>46</v>
      </c>
      <c r="C358" s="15">
        <v>50</v>
      </c>
      <c r="D358" s="15">
        <v>0.1</v>
      </c>
      <c r="E358" s="15">
        <v>1</v>
      </c>
      <c r="F358" s="30">
        <v>1</v>
      </c>
      <c r="G358" s="15">
        <v>2</v>
      </c>
      <c r="H358" s="16">
        <f t="shared" si="5"/>
        <v>0.5</v>
      </c>
      <c r="I358" s="8"/>
      <c r="J358" s="8"/>
      <c r="K358" s="8"/>
      <c r="L358" s="10"/>
    </row>
    <row r="359" spans="1:12">
      <c r="A359" s="7"/>
      <c r="B359" s="15">
        <v>46</v>
      </c>
      <c r="C359" s="15">
        <v>50</v>
      </c>
      <c r="D359" s="15">
        <v>0.2</v>
      </c>
      <c r="E359" s="15">
        <v>1</v>
      </c>
      <c r="F359" s="30">
        <v>0</v>
      </c>
      <c r="G359" s="15">
        <v>1</v>
      </c>
      <c r="H359" s="16">
        <f t="shared" si="5"/>
        <v>1</v>
      </c>
      <c r="I359" s="8"/>
      <c r="J359" s="8"/>
      <c r="K359" s="8"/>
      <c r="L359" s="10"/>
    </row>
    <row r="360" spans="1:12">
      <c r="A360" s="7"/>
      <c r="B360" s="15">
        <v>46</v>
      </c>
      <c r="C360" s="15">
        <v>50</v>
      </c>
      <c r="D360" s="15">
        <v>0.1</v>
      </c>
      <c r="E360" s="15">
        <v>3</v>
      </c>
      <c r="F360" s="30">
        <v>3</v>
      </c>
      <c r="G360" s="15">
        <v>6</v>
      </c>
      <c r="H360" s="16">
        <f t="shared" si="5"/>
        <v>0.16666666666666666</v>
      </c>
      <c r="I360" s="8"/>
      <c r="J360" s="8"/>
      <c r="K360" s="8"/>
      <c r="L360" s="10"/>
    </row>
    <row r="361" spans="1:12">
      <c r="A361" s="11"/>
      <c r="B361" s="19">
        <v>46</v>
      </c>
      <c r="C361" s="19">
        <v>50</v>
      </c>
      <c r="D361" s="19">
        <v>0.1</v>
      </c>
      <c r="E361" s="19">
        <v>2</v>
      </c>
      <c r="F361" s="32">
        <v>1</v>
      </c>
      <c r="G361" s="19">
        <v>3</v>
      </c>
      <c r="H361" s="20">
        <f t="shared" si="5"/>
        <v>0.33333333333333331</v>
      </c>
      <c r="I361" s="12"/>
      <c r="J361" s="12"/>
      <c r="K361" s="12">
        <f>SUM(G342:G361)</f>
        <v>48</v>
      </c>
      <c r="L361" s="14">
        <f>SUM(E342:E361)</f>
        <v>30</v>
      </c>
    </row>
    <row r="362" spans="1:12">
      <c r="A362" s="3" t="s">
        <v>72</v>
      </c>
      <c r="B362" s="17">
        <v>47</v>
      </c>
      <c r="C362" s="17">
        <v>50</v>
      </c>
      <c r="D362" s="17">
        <v>0.2</v>
      </c>
      <c r="E362" s="17">
        <v>1</v>
      </c>
      <c r="F362" s="31">
        <v>4</v>
      </c>
      <c r="G362" s="17">
        <v>5</v>
      </c>
      <c r="H362" s="18">
        <f t="shared" si="5"/>
        <v>0.2</v>
      </c>
      <c r="I362" s="5">
        <f>7/35</f>
        <v>0.2</v>
      </c>
      <c r="J362" s="5">
        <f>11/35</f>
        <v>0.31428571428571428</v>
      </c>
      <c r="K362" s="4">
        <v>83</v>
      </c>
      <c r="L362" s="6">
        <v>49</v>
      </c>
    </row>
    <row r="363" spans="1:12">
      <c r="A363" s="7" t="s">
        <v>12</v>
      </c>
      <c r="B363" s="15">
        <v>47</v>
      </c>
      <c r="C363" s="15">
        <v>50</v>
      </c>
      <c r="D363" s="15">
        <v>0.1</v>
      </c>
      <c r="E363" s="15">
        <v>3</v>
      </c>
      <c r="F363" s="30">
        <v>1</v>
      </c>
      <c r="G363" s="15">
        <v>4</v>
      </c>
      <c r="H363" s="16">
        <f t="shared" si="5"/>
        <v>0.25</v>
      </c>
      <c r="I363" s="8"/>
      <c r="J363" s="8"/>
      <c r="K363" s="8"/>
      <c r="L363" s="10"/>
    </row>
    <row r="364" spans="1:12">
      <c r="A364" s="7"/>
      <c r="B364" s="15">
        <v>47</v>
      </c>
      <c r="C364" s="15">
        <v>50</v>
      </c>
      <c r="D364" s="15">
        <v>0.1</v>
      </c>
      <c r="E364" s="15">
        <v>1</v>
      </c>
      <c r="F364" s="30">
        <v>1</v>
      </c>
      <c r="G364" s="15">
        <v>2</v>
      </c>
      <c r="H364" s="16">
        <f t="shared" si="5"/>
        <v>0.5</v>
      </c>
      <c r="I364" s="8"/>
      <c r="J364" s="8"/>
      <c r="K364" s="8"/>
      <c r="L364" s="10"/>
    </row>
    <row r="365" spans="1:12">
      <c r="A365" s="7"/>
      <c r="B365" s="15">
        <v>47</v>
      </c>
      <c r="C365" s="15">
        <v>50</v>
      </c>
      <c r="D365" s="15">
        <v>0.3</v>
      </c>
      <c r="E365" s="15">
        <v>3</v>
      </c>
      <c r="F365" s="30">
        <v>1</v>
      </c>
      <c r="G365" s="15">
        <v>4</v>
      </c>
      <c r="H365" s="16">
        <f t="shared" si="5"/>
        <v>0.25</v>
      </c>
      <c r="I365" s="8"/>
      <c r="J365" s="8"/>
      <c r="K365" s="8"/>
      <c r="L365" s="10"/>
    </row>
    <row r="366" spans="1:12">
      <c r="A366" s="7"/>
      <c r="B366" s="15">
        <v>47</v>
      </c>
      <c r="C366" s="15">
        <v>50</v>
      </c>
      <c r="D366" s="15">
        <v>0.1</v>
      </c>
      <c r="E366" s="15">
        <v>8</v>
      </c>
      <c r="F366" s="30">
        <v>6</v>
      </c>
      <c r="G366" s="15">
        <v>14</v>
      </c>
      <c r="H366" s="16">
        <f t="shared" si="5"/>
        <v>7.1428571428571425E-2</v>
      </c>
      <c r="I366" s="8"/>
      <c r="J366" s="8"/>
      <c r="K366" s="8"/>
      <c r="L366" s="10"/>
    </row>
    <row r="367" spans="1:12">
      <c r="A367" s="7"/>
      <c r="B367" s="15">
        <v>47</v>
      </c>
      <c r="C367" s="15">
        <v>50</v>
      </c>
      <c r="D367" s="15">
        <v>0.1</v>
      </c>
      <c r="E367" s="15">
        <v>2</v>
      </c>
      <c r="F367" s="30">
        <v>3</v>
      </c>
      <c r="G367" s="15">
        <v>5</v>
      </c>
      <c r="H367" s="16">
        <f t="shared" si="5"/>
        <v>0.2</v>
      </c>
      <c r="I367" s="8"/>
      <c r="J367" s="8"/>
      <c r="K367" s="8"/>
      <c r="L367" s="10"/>
    </row>
    <row r="368" spans="1:12">
      <c r="A368" s="11"/>
      <c r="B368" s="19">
        <v>47</v>
      </c>
      <c r="C368" s="19">
        <v>50</v>
      </c>
      <c r="D368" s="19">
        <v>0.2</v>
      </c>
      <c r="E368" s="19">
        <v>1</v>
      </c>
      <c r="F368" s="32">
        <v>0</v>
      </c>
      <c r="G368" s="19">
        <v>1</v>
      </c>
      <c r="H368" s="20">
        <f t="shared" si="5"/>
        <v>1</v>
      </c>
      <c r="I368" s="12"/>
      <c r="J368" s="12"/>
      <c r="K368" s="12">
        <f>SUM(G342:G368)</f>
        <v>83</v>
      </c>
      <c r="L368" s="14">
        <f>SUM(E342:E368)</f>
        <v>49</v>
      </c>
    </row>
    <row r="369" spans="1:12">
      <c r="A369" s="3" t="s">
        <v>72</v>
      </c>
      <c r="B369" s="17">
        <v>48</v>
      </c>
      <c r="C369" s="17">
        <v>50</v>
      </c>
      <c r="D369" s="17">
        <v>0.1</v>
      </c>
      <c r="E369" s="17">
        <v>2</v>
      </c>
      <c r="F369" s="31">
        <v>0</v>
      </c>
      <c r="G369" s="17">
        <v>2</v>
      </c>
      <c r="H369" s="18">
        <f t="shared" si="5"/>
        <v>0.5</v>
      </c>
      <c r="I369" s="5">
        <f>9/41</f>
        <v>0.21951219512195122</v>
      </c>
      <c r="J369" s="5">
        <f>9/41</f>
        <v>0.21951219512195122</v>
      </c>
      <c r="K369" s="4">
        <v>124</v>
      </c>
      <c r="L369" s="6">
        <v>79</v>
      </c>
    </row>
    <row r="370" spans="1:12">
      <c r="A370" s="7" t="s">
        <v>13</v>
      </c>
      <c r="B370" s="15">
        <v>48</v>
      </c>
      <c r="C370" s="15">
        <v>50</v>
      </c>
      <c r="D370" s="15">
        <v>0.1</v>
      </c>
      <c r="E370" s="15">
        <v>7</v>
      </c>
      <c r="F370" s="30">
        <v>2</v>
      </c>
      <c r="G370" s="15">
        <v>9</v>
      </c>
      <c r="H370" s="16">
        <f t="shared" si="5"/>
        <v>0.1111111111111111</v>
      </c>
      <c r="I370" s="8"/>
      <c r="J370" s="8"/>
      <c r="K370" s="8"/>
      <c r="L370" s="10"/>
    </row>
    <row r="371" spans="1:12">
      <c r="A371" s="7"/>
      <c r="B371" s="15">
        <v>48</v>
      </c>
      <c r="C371" s="15">
        <v>50</v>
      </c>
      <c r="D371" s="15">
        <v>0.1</v>
      </c>
      <c r="E371" s="15">
        <v>3</v>
      </c>
      <c r="F371" s="30">
        <v>3</v>
      </c>
      <c r="G371" s="15">
        <v>6</v>
      </c>
      <c r="H371" s="16">
        <f t="shared" si="5"/>
        <v>0.16666666666666666</v>
      </c>
      <c r="I371" s="8"/>
      <c r="J371" s="8"/>
      <c r="K371" s="8"/>
      <c r="L371" s="10"/>
    </row>
    <row r="372" spans="1:12">
      <c r="A372" s="7"/>
      <c r="B372" s="15">
        <v>48</v>
      </c>
      <c r="C372" s="15">
        <v>50</v>
      </c>
      <c r="D372" s="15">
        <v>0.1</v>
      </c>
      <c r="E372" s="15">
        <v>1</v>
      </c>
      <c r="F372" s="30">
        <v>2</v>
      </c>
      <c r="G372" s="15">
        <v>3</v>
      </c>
      <c r="H372" s="16">
        <f t="shared" si="5"/>
        <v>0.33333333333333331</v>
      </c>
      <c r="I372" s="8"/>
      <c r="J372" s="8"/>
      <c r="K372" s="8"/>
      <c r="L372" s="10"/>
    </row>
    <row r="373" spans="1:12">
      <c r="A373" s="7"/>
      <c r="B373" s="15">
        <v>48</v>
      </c>
      <c r="C373" s="15">
        <v>50</v>
      </c>
      <c r="D373" s="15">
        <v>0.1</v>
      </c>
      <c r="E373" s="15">
        <v>3</v>
      </c>
      <c r="F373" s="30">
        <v>0</v>
      </c>
      <c r="G373" s="15">
        <v>3</v>
      </c>
      <c r="H373" s="16">
        <f t="shared" si="5"/>
        <v>0.33333333333333331</v>
      </c>
      <c r="I373" s="8"/>
      <c r="J373" s="8"/>
      <c r="K373" s="8"/>
      <c r="L373" s="10"/>
    </row>
    <row r="374" spans="1:12">
      <c r="A374" s="7"/>
      <c r="B374" s="15">
        <v>48</v>
      </c>
      <c r="C374" s="15">
        <v>50</v>
      </c>
      <c r="D374" s="15">
        <v>0.1</v>
      </c>
      <c r="E374" s="15">
        <v>4</v>
      </c>
      <c r="F374" s="30">
        <v>1</v>
      </c>
      <c r="G374" s="15">
        <v>5</v>
      </c>
      <c r="H374" s="16">
        <f t="shared" si="5"/>
        <v>0.2</v>
      </c>
      <c r="I374" s="8"/>
      <c r="J374" s="8"/>
      <c r="K374" s="8"/>
      <c r="L374" s="10"/>
    </row>
    <row r="375" spans="1:12">
      <c r="A375" s="7"/>
      <c r="B375" s="15">
        <v>48</v>
      </c>
      <c r="C375" s="15">
        <v>50</v>
      </c>
      <c r="D375" s="15">
        <v>0.1</v>
      </c>
      <c r="E375" s="15">
        <v>4</v>
      </c>
      <c r="F375" s="30">
        <v>1</v>
      </c>
      <c r="G375" s="15">
        <v>5</v>
      </c>
      <c r="H375" s="16">
        <f t="shared" si="5"/>
        <v>0.2</v>
      </c>
      <c r="I375" s="8"/>
      <c r="J375" s="8"/>
      <c r="K375" s="8"/>
      <c r="L375" s="10"/>
    </row>
    <row r="376" spans="1:12">
      <c r="A376" s="7"/>
      <c r="B376" s="15">
        <v>48</v>
      </c>
      <c r="C376" s="15">
        <v>50</v>
      </c>
      <c r="D376" s="15">
        <v>0.1</v>
      </c>
      <c r="E376" s="15">
        <v>1</v>
      </c>
      <c r="F376" s="30">
        <v>0</v>
      </c>
      <c r="G376" s="15">
        <v>1</v>
      </c>
      <c r="H376" s="16">
        <f t="shared" si="5"/>
        <v>1</v>
      </c>
      <c r="I376" s="8"/>
      <c r="J376" s="8"/>
      <c r="K376" s="8"/>
      <c r="L376" s="10"/>
    </row>
    <row r="377" spans="1:12">
      <c r="A377" s="11"/>
      <c r="B377" s="19">
        <v>48</v>
      </c>
      <c r="C377" s="19">
        <v>50</v>
      </c>
      <c r="D377" s="19">
        <v>0.1</v>
      </c>
      <c r="E377" s="19">
        <v>5</v>
      </c>
      <c r="F377" s="32">
        <v>2</v>
      </c>
      <c r="G377" s="19">
        <v>7</v>
      </c>
      <c r="H377" s="20">
        <f t="shared" si="5"/>
        <v>0.14285714285714285</v>
      </c>
      <c r="I377" s="12"/>
      <c r="J377" s="12"/>
      <c r="K377" s="12">
        <f>SUM(G342:G377)</f>
        <v>124</v>
      </c>
      <c r="L377" s="14">
        <f>SUM(E342:E377)</f>
        <v>79</v>
      </c>
    </row>
    <row r="378" spans="1:12">
      <c r="A378" s="3" t="s">
        <v>72</v>
      </c>
      <c r="B378" s="17">
        <v>49</v>
      </c>
      <c r="C378" s="17">
        <v>50</v>
      </c>
      <c r="D378" s="17">
        <v>0.1</v>
      </c>
      <c r="E378" s="17">
        <v>11</v>
      </c>
      <c r="F378" s="31">
        <v>2</v>
      </c>
      <c r="G378" s="17">
        <v>13</v>
      </c>
      <c r="H378" s="18">
        <f t="shared" si="5"/>
        <v>7.6923076923076927E-2</v>
      </c>
      <c r="I378" s="5">
        <f>7/90</f>
        <v>7.7777777777777779E-2</v>
      </c>
      <c r="J378" s="5">
        <f>10/90</f>
        <v>0.1111111111111111</v>
      </c>
      <c r="K378" s="4">
        <v>214</v>
      </c>
      <c r="L378" s="6">
        <v>156</v>
      </c>
    </row>
    <row r="379" spans="1:12">
      <c r="A379" s="7" t="s">
        <v>14</v>
      </c>
      <c r="B379" s="15">
        <v>49</v>
      </c>
      <c r="C379" s="15">
        <v>50</v>
      </c>
      <c r="D379" s="15">
        <v>0.1</v>
      </c>
      <c r="E379" s="15">
        <v>2</v>
      </c>
      <c r="F379" s="30">
        <v>0</v>
      </c>
      <c r="G379" s="15">
        <v>2</v>
      </c>
      <c r="H379" s="16">
        <f t="shared" si="5"/>
        <v>0.5</v>
      </c>
      <c r="I379" s="8"/>
      <c r="J379" s="8"/>
      <c r="K379" s="8"/>
      <c r="L379" s="10"/>
    </row>
    <row r="380" spans="1:12">
      <c r="A380" s="7"/>
      <c r="B380" s="15">
        <v>49</v>
      </c>
      <c r="C380" s="15">
        <v>50</v>
      </c>
      <c r="D380" s="15">
        <v>0.2</v>
      </c>
      <c r="E380" s="15">
        <v>12</v>
      </c>
      <c r="F380" s="30">
        <v>0</v>
      </c>
      <c r="G380" s="15">
        <v>12</v>
      </c>
      <c r="H380" s="16">
        <f t="shared" si="5"/>
        <v>8.3333333333333329E-2</v>
      </c>
      <c r="I380" s="8"/>
      <c r="J380" s="8"/>
      <c r="K380" s="8"/>
      <c r="L380" s="10"/>
    </row>
    <row r="381" spans="1:12">
      <c r="A381" s="7"/>
      <c r="B381" s="15">
        <v>49</v>
      </c>
      <c r="C381" s="15">
        <v>50</v>
      </c>
      <c r="D381" s="15">
        <v>0.1</v>
      </c>
      <c r="E381" s="15">
        <v>29</v>
      </c>
      <c r="F381" s="30">
        <v>5</v>
      </c>
      <c r="G381" s="15">
        <v>34</v>
      </c>
      <c r="H381" s="16">
        <f t="shared" si="5"/>
        <v>2.9411764705882353E-2</v>
      </c>
      <c r="I381" s="8"/>
      <c r="J381" s="8"/>
      <c r="K381" s="8"/>
      <c r="L381" s="10"/>
    </row>
    <row r="382" spans="1:12">
      <c r="A382" s="7"/>
      <c r="B382" s="15">
        <v>49</v>
      </c>
      <c r="C382" s="15">
        <v>50</v>
      </c>
      <c r="D382" s="15">
        <v>0.1</v>
      </c>
      <c r="E382" s="15">
        <v>9</v>
      </c>
      <c r="F382" s="30">
        <v>3</v>
      </c>
      <c r="G382" s="15">
        <v>12</v>
      </c>
      <c r="H382" s="16">
        <f t="shared" si="5"/>
        <v>8.3333333333333329E-2</v>
      </c>
      <c r="I382" s="8"/>
      <c r="J382" s="8"/>
      <c r="K382" s="8"/>
      <c r="L382" s="10"/>
    </row>
    <row r="383" spans="1:12">
      <c r="A383" s="7"/>
      <c r="B383" s="15">
        <v>49</v>
      </c>
      <c r="C383" s="15">
        <v>50</v>
      </c>
      <c r="D383" s="15">
        <v>0.2</v>
      </c>
      <c r="E383" s="15">
        <v>9</v>
      </c>
      <c r="F383" s="30">
        <v>0</v>
      </c>
      <c r="G383" s="15">
        <v>9</v>
      </c>
      <c r="H383" s="16">
        <f t="shared" si="5"/>
        <v>0.1111111111111111</v>
      </c>
      <c r="I383" s="8"/>
      <c r="J383" s="8"/>
      <c r="K383" s="8"/>
      <c r="L383" s="10"/>
    </row>
    <row r="384" spans="1:12">
      <c r="A384" s="11"/>
      <c r="B384" s="19">
        <v>49</v>
      </c>
      <c r="C384" s="19">
        <v>50</v>
      </c>
      <c r="D384" s="19">
        <v>0.2</v>
      </c>
      <c r="E384" s="19">
        <v>5</v>
      </c>
      <c r="F384" s="32">
        <v>3</v>
      </c>
      <c r="G384" s="19">
        <v>8</v>
      </c>
      <c r="H384" s="20">
        <f t="shared" si="5"/>
        <v>0.125</v>
      </c>
      <c r="I384" s="12"/>
      <c r="J384" s="12"/>
      <c r="K384" s="12">
        <f>SUM(G342:G384)</f>
        <v>214</v>
      </c>
      <c r="L384" s="14">
        <f>SUM(E342:E384)</f>
        <v>156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85"/>
  <sheetViews>
    <sheetView workbookViewId="0">
      <selection activeCell="I2" sqref="I2"/>
    </sheetView>
  </sheetViews>
  <sheetFormatPr defaultRowHeight="15"/>
  <cols>
    <col min="1" max="1" width="16.140625" bestFit="1" customWidth="1"/>
    <col min="2" max="2" width="10.42578125" bestFit="1" customWidth="1"/>
    <col min="10" max="10" width="11.85546875" bestFit="1" customWidth="1"/>
    <col min="13" max="13" width="19.42578125" bestFit="1" customWidth="1"/>
    <col min="14" max="14" width="23.7109375" bestFit="1" customWidth="1"/>
  </cols>
  <sheetData>
    <row r="1" spans="1:14">
      <c r="A1" s="1" t="s">
        <v>10</v>
      </c>
      <c r="B1" s="1" t="s">
        <v>0</v>
      </c>
      <c r="C1" t="s">
        <v>4</v>
      </c>
      <c r="D1" s="1" t="s">
        <v>1</v>
      </c>
      <c r="E1" s="1" t="s">
        <v>2</v>
      </c>
      <c r="F1" s="1" t="s">
        <v>3</v>
      </c>
      <c r="G1" s="1" t="s">
        <v>7</v>
      </c>
      <c r="H1" s="1" t="s">
        <v>5</v>
      </c>
      <c r="I1" s="1" t="s">
        <v>6</v>
      </c>
      <c r="J1" s="1" t="s">
        <v>16</v>
      </c>
      <c r="K1" s="1" t="s">
        <v>8</v>
      </c>
      <c r="L1" s="1" t="s">
        <v>9</v>
      </c>
    </row>
    <row r="2" spans="1:14">
      <c r="A2" s="40" t="s">
        <v>96</v>
      </c>
      <c r="B2" s="4">
        <v>50</v>
      </c>
      <c r="C2" s="4">
        <v>55</v>
      </c>
      <c r="D2" s="4">
        <v>0.1</v>
      </c>
      <c r="E2" s="4">
        <v>1</v>
      </c>
      <c r="F2" s="4">
        <v>0</v>
      </c>
      <c r="G2" s="4">
        <v>1</v>
      </c>
      <c r="H2" s="41">
        <f t="shared" ref="H2:H65" si="0">1/G2</f>
        <v>1</v>
      </c>
      <c r="I2" s="41">
        <f>5/7</f>
        <v>0.7142857142857143</v>
      </c>
      <c r="J2" s="41">
        <f>10/7</f>
        <v>1.4285714285714286</v>
      </c>
      <c r="K2" s="4">
        <v>7</v>
      </c>
      <c r="L2" s="6">
        <v>4</v>
      </c>
      <c r="M2" s="22" t="s">
        <v>82</v>
      </c>
      <c r="N2" s="22" t="s">
        <v>83</v>
      </c>
    </row>
    <row r="3" spans="1:14">
      <c r="A3" s="7" t="s">
        <v>33</v>
      </c>
      <c r="B3" s="8">
        <v>50</v>
      </c>
      <c r="C3" s="8">
        <v>55</v>
      </c>
      <c r="D3" s="8">
        <v>0.1</v>
      </c>
      <c r="E3" s="8">
        <v>1</v>
      </c>
      <c r="F3" s="8">
        <v>0</v>
      </c>
      <c r="G3" s="8">
        <v>1</v>
      </c>
      <c r="H3" s="42">
        <f t="shared" si="0"/>
        <v>1</v>
      </c>
      <c r="I3" s="8"/>
      <c r="J3" s="8"/>
      <c r="K3" s="8"/>
      <c r="L3" s="10"/>
      <c r="M3" s="48">
        <f>36/293</f>
        <v>0.12286689419795221</v>
      </c>
      <c r="N3" s="48">
        <f>50/293</f>
        <v>0.17064846416382254</v>
      </c>
    </row>
    <row r="4" spans="1:14">
      <c r="A4" s="7"/>
      <c r="B4" s="8">
        <v>50</v>
      </c>
      <c r="C4" s="8">
        <v>55</v>
      </c>
      <c r="D4" s="8">
        <v>0.3</v>
      </c>
      <c r="E4" s="8">
        <v>0</v>
      </c>
      <c r="F4" s="8">
        <v>1</v>
      </c>
      <c r="G4" s="8">
        <v>1</v>
      </c>
      <c r="H4" s="42">
        <f t="shared" si="0"/>
        <v>1</v>
      </c>
      <c r="I4" s="8"/>
      <c r="J4" s="8"/>
      <c r="K4" s="8"/>
      <c r="L4" s="10"/>
      <c r="M4" s="22" t="s">
        <v>98</v>
      </c>
      <c r="N4" s="22" t="s">
        <v>99</v>
      </c>
    </row>
    <row r="5" spans="1:14">
      <c r="A5" s="7"/>
      <c r="B5" s="8">
        <v>50</v>
      </c>
      <c r="C5" s="8">
        <v>55</v>
      </c>
      <c r="D5" s="8">
        <v>0.2</v>
      </c>
      <c r="E5" s="8">
        <v>1</v>
      </c>
      <c r="F5" s="8">
        <v>0</v>
      </c>
      <c r="G5" s="8">
        <v>1</v>
      </c>
      <c r="H5" s="42">
        <f t="shared" si="0"/>
        <v>1</v>
      </c>
      <c r="I5" s="8"/>
      <c r="J5" s="8"/>
      <c r="K5" s="8"/>
      <c r="L5" s="10"/>
      <c r="M5" s="47">
        <f>34/305</f>
        <v>0.11147540983606558</v>
      </c>
      <c r="N5" s="47">
        <f>50/305</f>
        <v>0.16393442622950818</v>
      </c>
    </row>
    <row r="6" spans="1:14">
      <c r="A6" s="11"/>
      <c r="B6" s="12">
        <v>50</v>
      </c>
      <c r="C6" s="12">
        <v>55</v>
      </c>
      <c r="D6" s="12">
        <v>0.3</v>
      </c>
      <c r="E6" s="12">
        <v>1</v>
      </c>
      <c r="F6" s="12">
        <v>2</v>
      </c>
      <c r="G6" s="12">
        <v>3</v>
      </c>
      <c r="H6" s="43">
        <f t="shared" si="0"/>
        <v>0.33333333333333331</v>
      </c>
      <c r="I6" s="12"/>
      <c r="J6" s="12"/>
      <c r="K6" s="12">
        <f>SUM(G2:G6)</f>
        <v>7</v>
      </c>
      <c r="L6" s="14">
        <f>SUM(E2:E6)</f>
        <v>4</v>
      </c>
      <c r="M6" s="22" t="s">
        <v>108</v>
      </c>
      <c r="N6" s="22" t="s">
        <v>100</v>
      </c>
    </row>
    <row r="7" spans="1:14">
      <c r="A7" s="3" t="s">
        <v>96</v>
      </c>
      <c r="B7" s="17">
        <v>51</v>
      </c>
      <c r="C7" s="17">
        <v>55</v>
      </c>
      <c r="D7" s="17">
        <v>0.2</v>
      </c>
      <c r="E7" s="17">
        <v>0</v>
      </c>
      <c r="F7" s="17">
        <v>1</v>
      </c>
      <c r="G7" s="17">
        <v>1</v>
      </c>
      <c r="H7" s="45">
        <f t="shared" si="0"/>
        <v>1</v>
      </c>
      <c r="I7" s="41">
        <f>7/26</f>
        <v>0.26923076923076922</v>
      </c>
      <c r="J7" s="41">
        <f>10/26</f>
        <v>0.38461538461538464</v>
      </c>
      <c r="K7" s="4">
        <v>33</v>
      </c>
      <c r="L7" s="6">
        <v>12</v>
      </c>
      <c r="M7" s="47">
        <f>70/598</f>
        <v>0.11705685618729098</v>
      </c>
      <c r="N7" s="47">
        <f>100/598</f>
        <v>0.16722408026755853</v>
      </c>
    </row>
    <row r="8" spans="1:14">
      <c r="A8" s="7" t="s">
        <v>97</v>
      </c>
      <c r="B8" s="15">
        <v>51</v>
      </c>
      <c r="C8" s="15">
        <v>55</v>
      </c>
      <c r="D8" s="15">
        <v>0.2</v>
      </c>
      <c r="E8" s="15">
        <v>1</v>
      </c>
      <c r="F8" s="15">
        <v>0</v>
      </c>
      <c r="G8" s="15">
        <v>1</v>
      </c>
      <c r="H8" s="44">
        <f t="shared" si="0"/>
        <v>1</v>
      </c>
      <c r="I8" s="8"/>
      <c r="J8" s="8"/>
      <c r="K8" s="8"/>
      <c r="L8" s="10"/>
      <c r="M8" s="22" t="s">
        <v>101</v>
      </c>
      <c r="N8" s="22" t="s">
        <v>102</v>
      </c>
    </row>
    <row r="9" spans="1:14">
      <c r="A9" s="7"/>
      <c r="B9" s="15">
        <v>51</v>
      </c>
      <c r="C9" s="15">
        <v>55</v>
      </c>
      <c r="D9" s="15">
        <v>0.2</v>
      </c>
      <c r="E9" s="15">
        <v>4</v>
      </c>
      <c r="F9" s="15">
        <v>1</v>
      </c>
      <c r="G9" s="15">
        <v>5</v>
      </c>
      <c r="H9" s="44">
        <f t="shared" si="0"/>
        <v>0.2</v>
      </c>
      <c r="I9" s="8"/>
      <c r="J9" s="8"/>
      <c r="K9" s="8"/>
      <c r="L9" s="10"/>
      <c r="M9" s="47">
        <f>35/337</f>
        <v>0.10385756676557864</v>
      </c>
      <c r="N9" s="47">
        <f>40/337</f>
        <v>0.11869436201780416</v>
      </c>
    </row>
    <row r="10" spans="1:14">
      <c r="A10" s="7"/>
      <c r="B10" s="15">
        <v>51</v>
      </c>
      <c r="C10" s="15">
        <v>55</v>
      </c>
      <c r="D10" s="15">
        <v>0.1</v>
      </c>
      <c r="E10" s="15">
        <v>0</v>
      </c>
      <c r="F10" s="15">
        <v>6</v>
      </c>
      <c r="G10" s="15">
        <v>6</v>
      </c>
      <c r="H10" s="44">
        <f t="shared" si="0"/>
        <v>0.16666666666666666</v>
      </c>
      <c r="I10" s="8"/>
      <c r="J10" s="8"/>
      <c r="K10" s="8"/>
      <c r="L10" s="10"/>
      <c r="M10" s="22" t="s">
        <v>105</v>
      </c>
      <c r="N10" s="22" t="s">
        <v>106</v>
      </c>
    </row>
    <row r="11" spans="1:14">
      <c r="A11" s="7"/>
      <c r="B11" s="15">
        <v>51</v>
      </c>
      <c r="C11" s="15">
        <v>55</v>
      </c>
      <c r="D11" s="15">
        <v>0.1</v>
      </c>
      <c r="E11" s="15">
        <v>0</v>
      </c>
      <c r="F11" s="15">
        <v>3</v>
      </c>
      <c r="G11" s="15">
        <v>3</v>
      </c>
      <c r="H11" s="44">
        <f t="shared" si="0"/>
        <v>0.33333333333333331</v>
      </c>
      <c r="I11" s="8"/>
      <c r="J11" s="8"/>
      <c r="K11" s="8"/>
      <c r="L11" s="10"/>
      <c r="M11" s="48">
        <f>32/278</f>
        <v>0.11510791366906475</v>
      </c>
      <c r="N11" s="48">
        <f>40/278</f>
        <v>0.14388489208633093</v>
      </c>
    </row>
    <row r="12" spans="1:14">
      <c r="A12" s="7"/>
      <c r="B12" s="15">
        <v>51</v>
      </c>
      <c r="C12" s="15">
        <v>55</v>
      </c>
      <c r="D12" s="15">
        <v>0.1</v>
      </c>
      <c r="E12" s="15">
        <v>2</v>
      </c>
      <c r="F12" s="15">
        <v>4</v>
      </c>
      <c r="G12" s="15">
        <v>6</v>
      </c>
      <c r="H12" s="44">
        <f t="shared" si="0"/>
        <v>0.16666666666666666</v>
      </c>
      <c r="I12" s="8"/>
      <c r="J12" s="8"/>
      <c r="K12" s="8"/>
      <c r="L12" s="10"/>
      <c r="M12" s="22" t="s">
        <v>109</v>
      </c>
      <c r="N12" s="22" t="s">
        <v>107</v>
      </c>
    </row>
    <row r="13" spans="1:14">
      <c r="A13" s="11"/>
      <c r="B13" s="19">
        <v>51</v>
      </c>
      <c r="C13" s="19">
        <v>55</v>
      </c>
      <c r="D13" s="19">
        <v>0.1</v>
      </c>
      <c r="E13" s="19">
        <v>1</v>
      </c>
      <c r="F13" s="19">
        <v>3</v>
      </c>
      <c r="G13" s="19">
        <v>4</v>
      </c>
      <c r="H13" s="46">
        <f t="shared" si="0"/>
        <v>0.25</v>
      </c>
      <c r="I13" s="12"/>
      <c r="J13" s="12"/>
      <c r="K13" s="12">
        <f>SUM(G2:G13)</f>
        <v>33</v>
      </c>
      <c r="L13" s="14">
        <f>SUM(E2:E13)</f>
        <v>12</v>
      </c>
      <c r="M13" s="48">
        <f>82/690</f>
        <v>0.11884057971014493</v>
      </c>
      <c r="N13" s="48">
        <f>102/690</f>
        <v>0.14782608695652175</v>
      </c>
    </row>
    <row r="14" spans="1:14">
      <c r="A14" s="3" t="s">
        <v>96</v>
      </c>
      <c r="B14" s="17">
        <v>52</v>
      </c>
      <c r="C14" s="17">
        <v>55</v>
      </c>
      <c r="D14" s="17">
        <v>0.1</v>
      </c>
      <c r="E14" s="17">
        <v>1</v>
      </c>
      <c r="F14" s="17">
        <v>0</v>
      </c>
      <c r="G14" s="17">
        <v>1</v>
      </c>
      <c r="H14" s="45">
        <f t="shared" si="0"/>
        <v>1</v>
      </c>
      <c r="I14" s="41">
        <f>9/71</f>
        <v>0.12676056338028169</v>
      </c>
      <c r="J14" s="41">
        <f>11/71</f>
        <v>0.15492957746478872</v>
      </c>
      <c r="K14" s="4">
        <v>104</v>
      </c>
      <c r="L14" s="6">
        <v>60</v>
      </c>
      <c r="M14" s="22" t="s">
        <v>110</v>
      </c>
      <c r="N14" s="22" t="s">
        <v>111</v>
      </c>
    </row>
    <row r="15" spans="1:14">
      <c r="A15" s="7" t="s">
        <v>12</v>
      </c>
      <c r="B15" s="15">
        <v>52</v>
      </c>
      <c r="C15" s="15">
        <v>55</v>
      </c>
      <c r="D15" s="15">
        <v>0.1</v>
      </c>
      <c r="E15" s="15">
        <v>3</v>
      </c>
      <c r="F15" s="15">
        <v>0</v>
      </c>
      <c r="G15" s="15">
        <v>3</v>
      </c>
      <c r="H15" s="44">
        <f t="shared" si="0"/>
        <v>0.33333333333333331</v>
      </c>
      <c r="I15" s="8"/>
      <c r="J15" s="8"/>
      <c r="K15" s="8"/>
      <c r="L15" s="10"/>
      <c r="M15" s="48">
        <f>152/1288</f>
        <v>0.11801242236024845</v>
      </c>
      <c r="N15" s="48">
        <f>202/1288</f>
        <v>0.15683229813664595</v>
      </c>
    </row>
    <row r="16" spans="1:14">
      <c r="A16" s="7"/>
      <c r="B16" s="15">
        <v>52</v>
      </c>
      <c r="C16" s="15">
        <v>55</v>
      </c>
      <c r="D16" s="15">
        <v>0.1</v>
      </c>
      <c r="E16" s="15">
        <v>4</v>
      </c>
      <c r="F16" s="15">
        <v>2</v>
      </c>
      <c r="G16" s="15">
        <v>6</v>
      </c>
      <c r="H16" s="44">
        <f t="shared" si="0"/>
        <v>0.16666666666666666</v>
      </c>
      <c r="I16" s="8"/>
      <c r="J16" s="8"/>
      <c r="K16" s="8"/>
      <c r="L16" s="10"/>
      <c r="M16" s="22" t="s">
        <v>112</v>
      </c>
      <c r="N16" s="22" t="s">
        <v>113</v>
      </c>
    </row>
    <row r="17" spans="1:14">
      <c r="A17" s="7"/>
      <c r="B17" s="15">
        <v>52</v>
      </c>
      <c r="C17" s="15">
        <v>55</v>
      </c>
      <c r="D17" s="15">
        <v>0.1</v>
      </c>
      <c r="E17" s="15">
        <v>2</v>
      </c>
      <c r="F17" s="15">
        <v>1</v>
      </c>
      <c r="G17" s="15">
        <v>3</v>
      </c>
      <c r="H17" s="44">
        <f t="shared" si="0"/>
        <v>0.33333333333333331</v>
      </c>
      <c r="I17" s="8"/>
      <c r="J17" s="8"/>
      <c r="K17" s="8"/>
      <c r="L17" s="10"/>
      <c r="M17" s="48">
        <f>29/357</f>
        <v>8.1232492997198882E-2</v>
      </c>
      <c r="N17" s="48">
        <f>40/357</f>
        <v>0.11204481792717087</v>
      </c>
    </row>
    <row r="18" spans="1:14">
      <c r="A18" s="7"/>
      <c r="B18" s="15">
        <v>52</v>
      </c>
      <c r="C18" s="15">
        <v>55</v>
      </c>
      <c r="D18" s="15">
        <v>0.1</v>
      </c>
      <c r="E18" s="15">
        <v>3</v>
      </c>
      <c r="F18" s="15">
        <v>4</v>
      </c>
      <c r="G18" s="15">
        <v>7</v>
      </c>
      <c r="H18" s="44">
        <f t="shared" si="0"/>
        <v>0.14285714285714285</v>
      </c>
      <c r="I18" s="8"/>
      <c r="J18" s="8"/>
      <c r="K18" s="8"/>
      <c r="L18" s="10"/>
      <c r="M18" s="22" t="s">
        <v>114</v>
      </c>
      <c r="N18" s="22" t="s">
        <v>115</v>
      </c>
    </row>
    <row r="19" spans="1:14">
      <c r="A19" s="7"/>
      <c r="B19" s="15">
        <v>52</v>
      </c>
      <c r="C19" s="15">
        <v>55</v>
      </c>
      <c r="D19" s="15">
        <v>0.2</v>
      </c>
      <c r="E19" s="15">
        <v>4</v>
      </c>
      <c r="F19" s="15">
        <v>0</v>
      </c>
      <c r="G19" s="15">
        <v>4</v>
      </c>
      <c r="H19" s="44">
        <f t="shared" si="0"/>
        <v>0.25</v>
      </c>
      <c r="I19" s="8"/>
      <c r="J19" s="8"/>
      <c r="K19" s="8"/>
      <c r="L19" s="10"/>
      <c r="M19" s="48">
        <f>36/493</f>
        <v>7.3022312373225151E-2</v>
      </c>
      <c r="N19" s="48">
        <f>40/493</f>
        <v>8.1135902636916835E-2</v>
      </c>
    </row>
    <row r="20" spans="1:14">
      <c r="A20" s="7"/>
      <c r="B20" s="15">
        <v>52</v>
      </c>
      <c r="C20" s="15">
        <v>55</v>
      </c>
      <c r="D20" s="15">
        <v>0.1</v>
      </c>
      <c r="E20" s="15">
        <v>24</v>
      </c>
      <c r="F20" s="15">
        <v>12</v>
      </c>
      <c r="G20" s="15">
        <v>36</v>
      </c>
      <c r="H20" s="44">
        <f t="shared" si="0"/>
        <v>2.7777777777777776E-2</v>
      </c>
      <c r="I20" s="8"/>
      <c r="J20" s="8"/>
      <c r="K20" s="8"/>
      <c r="L20" s="10"/>
      <c r="M20" s="22" t="s">
        <v>116</v>
      </c>
      <c r="N20" s="22" t="s">
        <v>117</v>
      </c>
    </row>
    <row r="21" spans="1:14">
      <c r="A21" s="7"/>
      <c r="B21" s="15">
        <v>52</v>
      </c>
      <c r="C21" s="15">
        <v>55</v>
      </c>
      <c r="D21" s="15">
        <v>0.1</v>
      </c>
      <c r="E21" s="15">
        <v>6</v>
      </c>
      <c r="F21" s="15">
        <v>4</v>
      </c>
      <c r="G21" s="15">
        <v>10</v>
      </c>
      <c r="H21" s="44">
        <f t="shared" si="0"/>
        <v>0.1</v>
      </c>
      <c r="I21" s="8"/>
      <c r="J21" s="8"/>
      <c r="K21" s="8"/>
      <c r="L21" s="10"/>
      <c r="M21" s="47">
        <f>37/512</f>
        <v>7.2265625E-2</v>
      </c>
      <c r="N21" s="47">
        <f>51/512</f>
        <v>9.9609375E-2</v>
      </c>
    </row>
    <row r="22" spans="1:14">
      <c r="A22" s="11"/>
      <c r="B22" s="19">
        <v>52</v>
      </c>
      <c r="C22" s="19">
        <v>55</v>
      </c>
      <c r="D22" s="19">
        <v>0.2</v>
      </c>
      <c r="E22" s="19">
        <v>1</v>
      </c>
      <c r="F22" s="19">
        <v>0</v>
      </c>
      <c r="G22" s="19">
        <v>1</v>
      </c>
      <c r="H22" s="46">
        <f t="shared" si="0"/>
        <v>1</v>
      </c>
      <c r="I22" s="12"/>
      <c r="J22" s="12"/>
      <c r="K22" s="12">
        <f>SUM(G2:G22)</f>
        <v>104</v>
      </c>
      <c r="L22" s="14">
        <f>SUM(E2:E22)</f>
        <v>60</v>
      </c>
      <c r="M22" s="22" t="s">
        <v>118</v>
      </c>
      <c r="N22" s="22" t="s">
        <v>120</v>
      </c>
    </row>
    <row r="23" spans="1:14">
      <c r="A23" s="3" t="s">
        <v>96</v>
      </c>
      <c r="B23" s="17">
        <v>53</v>
      </c>
      <c r="C23" s="17">
        <v>55</v>
      </c>
      <c r="D23" s="17">
        <v>0.1</v>
      </c>
      <c r="E23" s="17">
        <v>7</v>
      </c>
      <c r="F23" s="17">
        <v>0</v>
      </c>
      <c r="G23" s="17">
        <v>7</v>
      </c>
      <c r="H23" s="45">
        <f t="shared" si="0"/>
        <v>0.14285714285714285</v>
      </c>
      <c r="I23" s="41">
        <f>8/106</f>
        <v>7.5471698113207544E-2</v>
      </c>
      <c r="J23" s="41">
        <f>9/106</f>
        <v>8.4905660377358486E-2</v>
      </c>
      <c r="K23" s="4">
        <v>210</v>
      </c>
      <c r="L23" s="6">
        <v>137</v>
      </c>
      <c r="M23" s="48">
        <f>77/1000</f>
        <v>7.6999999999999999E-2</v>
      </c>
      <c r="N23" s="48">
        <f>98/1000</f>
        <v>9.8000000000000004E-2</v>
      </c>
    </row>
    <row r="24" spans="1:14">
      <c r="A24" s="7" t="s">
        <v>13</v>
      </c>
      <c r="B24" s="15">
        <v>53</v>
      </c>
      <c r="C24" s="15">
        <v>55</v>
      </c>
      <c r="D24" s="15">
        <v>0.2</v>
      </c>
      <c r="E24" s="15">
        <v>10</v>
      </c>
      <c r="F24" s="15">
        <v>10</v>
      </c>
      <c r="G24" s="15">
        <v>20</v>
      </c>
      <c r="H24" s="44">
        <f t="shared" si="0"/>
        <v>0.05</v>
      </c>
      <c r="I24" s="8"/>
      <c r="J24" s="8"/>
      <c r="K24" s="8"/>
      <c r="L24" s="10"/>
      <c r="M24" s="22" t="s">
        <v>119</v>
      </c>
      <c r="N24" s="22" t="s">
        <v>121</v>
      </c>
    </row>
    <row r="25" spans="1:14">
      <c r="A25" s="7"/>
      <c r="B25" s="15">
        <v>53</v>
      </c>
      <c r="C25" s="15">
        <v>55</v>
      </c>
      <c r="D25" s="15">
        <v>0.1</v>
      </c>
      <c r="E25" s="15">
        <v>11</v>
      </c>
      <c r="F25" s="15">
        <v>2</v>
      </c>
      <c r="G25" s="15">
        <v>13</v>
      </c>
      <c r="H25" s="44">
        <f t="shared" si="0"/>
        <v>7.6923076923076927E-2</v>
      </c>
      <c r="I25" s="8"/>
      <c r="J25" s="8"/>
      <c r="K25" s="8"/>
      <c r="L25" s="10"/>
      <c r="M25" s="48">
        <f>229/2288</f>
        <v>0.10008741258741259</v>
      </c>
      <c r="N25" s="48">
        <f>300/2288</f>
        <v>0.13111888111888112</v>
      </c>
    </row>
    <row r="26" spans="1:14">
      <c r="A26" s="7"/>
      <c r="B26" s="15">
        <v>53</v>
      </c>
      <c r="C26" s="15">
        <v>55</v>
      </c>
      <c r="D26" s="15">
        <v>0.1</v>
      </c>
      <c r="E26" s="15">
        <v>2</v>
      </c>
      <c r="F26" s="15">
        <v>1</v>
      </c>
      <c r="G26" s="15">
        <v>3</v>
      </c>
      <c r="H26" s="44">
        <f t="shared" si="0"/>
        <v>0.33333333333333331</v>
      </c>
      <c r="I26" s="8"/>
      <c r="J26" s="8"/>
      <c r="K26" s="8"/>
      <c r="L26" s="10"/>
      <c r="M26" s="22" t="s">
        <v>122</v>
      </c>
      <c r="N26" s="22" t="s">
        <v>123</v>
      </c>
    </row>
    <row r="27" spans="1:14">
      <c r="A27" s="7"/>
      <c r="B27" s="15">
        <v>53</v>
      </c>
      <c r="C27" s="15">
        <v>55</v>
      </c>
      <c r="D27" s="15">
        <v>0.1</v>
      </c>
      <c r="E27" s="15">
        <v>12</v>
      </c>
      <c r="F27" s="15">
        <v>3</v>
      </c>
      <c r="G27" s="15">
        <v>15</v>
      </c>
      <c r="H27" s="44">
        <f t="shared" si="0"/>
        <v>6.6666666666666666E-2</v>
      </c>
      <c r="I27" s="8"/>
      <c r="J27" s="8"/>
      <c r="K27" s="8"/>
      <c r="L27" s="10"/>
      <c r="M27" s="48">
        <f>32/476</f>
        <v>6.7226890756302518E-2</v>
      </c>
      <c r="N27" s="48">
        <f>39/476</f>
        <v>8.1932773109243698E-2</v>
      </c>
    </row>
    <row r="28" spans="1:14">
      <c r="A28" s="7"/>
      <c r="B28" s="15">
        <v>53</v>
      </c>
      <c r="C28" s="15">
        <v>55</v>
      </c>
      <c r="D28" s="15">
        <v>0.1</v>
      </c>
      <c r="E28" s="15">
        <v>12</v>
      </c>
      <c r="F28" s="15">
        <v>3</v>
      </c>
      <c r="G28" s="15">
        <v>15</v>
      </c>
      <c r="H28" s="44">
        <f t="shared" si="0"/>
        <v>6.6666666666666666E-2</v>
      </c>
      <c r="I28" s="8"/>
      <c r="J28" s="8"/>
      <c r="K28" s="8"/>
      <c r="L28" s="10"/>
      <c r="M28" s="22" t="s">
        <v>124</v>
      </c>
      <c r="N28" s="22" t="s">
        <v>125</v>
      </c>
    </row>
    <row r="29" spans="1:14">
      <c r="A29" s="7"/>
      <c r="B29" s="15">
        <v>53</v>
      </c>
      <c r="C29" s="15">
        <v>55</v>
      </c>
      <c r="D29" s="15">
        <v>0.1</v>
      </c>
      <c r="E29" s="15">
        <v>21</v>
      </c>
      <c r="F29" s="15">
        <v>9</v>
      </c>
      <c r="G29" s="15">
        <v>30</v>
      </c>
      <c r="H29" s="44">
        <f t="shared" si="0"/>
        <v>3.3333333333333333E-2</v>
      </c>
      <c r="I29" s="8"/>
      <c r="J29" s="8"/>
      <c r="K29" s="8"/>
      <c r="L29" s="10"/>
      <c r="M29" s="48">
        <f>36/409</f>
        <v>8.8019559902200492E-2</v>
      </c>
      <c r="N29" s="48">
        <f>50/409</f>
        <v>0.12224938875305623</v>
      </c>
    </row>
    <row r="30" spans="1:14">
      <c r="A30" s="11"/>
      <c r="B30" s="19">
        <v>53</v>
      </c>
      <c r="C30" s="19">
        <v>55</v>
      </c>
      <c r="D30" s="19">
        <v>0.1</v>
      </c>
      <c r="E30" s="19">
        <v>2</v>
      </c>
      <c r="F30" s="19">
        <v>1</v>
      </c>
      <c r="G30" s="19">
        <v>3</v>
      </c>
      <c r="H30" s="46">
        <f t="shared" si="0"/>
        <v>0.33333333333333331</v>
      </c>
      <c r="I30" s="12"/>
      <c r="J30" s="12"/>
      <c r="K30" s="12">
        <f>SUM(G2:G30)</f>
        <v>210</v>
      </c>
      <c r="L30" s="14">
        <f>SUM(E2:E30)</f>
        <v>137</v>
      </c>
      <c r="M30" s="22" t="s">
        <v>126</v>
      </c>
      <c r="N30" s="22" t="s">
        <v>127</v>
      </c>
    </row>
    <row r="31" spans="1:14">
      <c r="A31" s="3" t="s">
        <v>96</v>
      </c>
      <c r="B31" s="17">
        <v>54</v>
      </c>
      <c r="C31" s="17">
        <v>55</v>
      </c>
      <c r="D31" s="17">
        <v>0.2</v>
      </c>
      <c r="E31" s="17">
        <v>1</v>
      </c>
      <c r="F31" s="17">
        <v>1</v>
      </c>
      <c r="G31" s="17">
        <v>2</v>
      </c>
      <c r="H31" s="45">
        <f t="shared" si="0"/>
        <v>0.5</v>
      </c>
      <c r="I31" s="41">
        <f>7/83</f>
        <v>8.4337349397590355E-2</v>
      </c>
      <c r="J31" s="41">
        <f>10/83</f>
        <v>0.12048192771084337</v>
      </c>
      <c r="K31" s="4">
        <v>293</v>
      </c>
      <c r="L31" s="6">
        <v>204</v>
      </c>
      <c r="M31" s="48">
        <f>78/1172</f>
        <v>6.655290102389079E-2</v>
      </c>
      <c r="N31" s="48">
        <f>100/1172</f>
        <v>8.5324232081911269E-2</v>
      </c>
    </row>
    <row r="32" spans="1:14">
      <c r="A32" s="7" t="s">
        <v>14</v>
      </c>
      <c r="B32" s="15">
        <v>54</v>
      </c>
      <c r="C32" s="15">
        <v>55</v>
      </c>
      <c r="D32" s="15">
        <v>0.1</v>
      </c>
      <c r="E32" s="15">
        <v>7</v>
      </c>
      <c r="F32" s="15">
        <v>1</v>
      </c>
      <c r="G32" s="15">
        <v>8</v>
      </c>
      <c r="H32" s="44">
        <f t="shared" si="0"/>
        <v>0.125</v>
      </c>
      <c r="I32" s="8"/>
      <c r="J32" s="8"/>
      <c r="K32" s="8"/>
      <c r="L32" s="10"/>
      <c r="M32" s="22" t="s">
        <v>128</v>
      </c>
      <c r="N32" s="22" t="s">
        <v>129</v>
      </c>
    </row>
    <row r="33" spans="1:14">
      <c r="A33" s="7"/>
      <c r="B33" s="15">
        <v>54</v>
      </c>
      <c r="C33" s="15">
        <v>55</v>
      </c>
      <c r="D33" s="15">
        <v>0.1</v>
      </c>
      <c r="E33" s="15">
        <v>12</v>
      </c>
      <c r="F33" s="15">
        <v>3</v>
      </c>
      <c r="G33" s="15">
        <v>15</v>
      </c>
      <c r="H33" s="44">
        <f t="shared" si="0"/>
        <v>6.6666666666666666E-2</v>
      </c>
      <c r="I33" s="8"/>
      <c r="J33" s="8"/>
      <c r="K33" s="8"/>
      <c r="L33" s="10"/>
      <c r="M33" s="48">
        <f>307/3460</f>
        <v>8.8728323699421963E-2</v>
      </c>
      <c r="N33" s="48">
        <f>400/3460</f>
        <v>0.11560693641618497</v>
      </c>
    </row>
    <row r="34" spans="1:14">
      <c r="A34" s="7"/>
      <c r="B34" s="15">
        <v>54</v>
      </c>
      <c r="C34" s="15">
        <v>55</v>
      </c>
      <c r="D34" s="15">
        <v>0.1</v>
      </c>
      <c r="E34" s="15">
        <v>5</v>
      </c>
      <c r="F34" s="15">
        <v>0</v>
      </c>
      <c r="G34" s="15">
        <v>5</v>
      </c>
      <c r="H34" s="44">
        <f t="shared" si="0"/>
        <v>0.2</v>
      </c>
      <c r="I34" s="8"/>
      <c r="J34" s="8"/>
      <c r="K34" s="8"/>
      <c r="L34" s="10"/>
      <c r="M34" s="22" t="s">
        <v>130</v>
      </c>
      <c r="N34" s="22" t="s">
        <v>131</v>
      </c>
    </row>
    <row r="35" spans="1:14">
      <c r="A35" s="7"/>
      <c r="B35" s="15">
        <v>54</v>
      </c>
      <c r="C35" s="15">
        <v>55</v>
      </c>
      <c r="D35" s="15">
        <v>0.1</v>
      </c>
      <c r="E35" s="15">
        <v>9</v>
      </c>
      <c r="F35" s="15">
        <v>0</v>
      </c>
      <c r="G35" s="15">
        <v>9</v>
      </c>
      <c r="H35" s="44">
        <f t="shared" si="0"/>
        <v>0.1111111111111111</v>
      </c>
      <c r="I35" s="8"/>
      <c r="J35" s="8"/>
      <c r="K35" s="8"/>
      <c r="L35" s="10"/>
      <c r="M35" s="47">
        <f>32/742</f>
        <v>4.3126684636118601E-2</v>
      </c>
      <c r="N35" s="47">
        <f>40/742</f>
        <v>5.3908355795148251E-2</v>
      </c>
    </row>
    <row r="36" spans="1:14">
      <c r="A36" s="7"/>
      <c r="B36" s="15">
        <v>54</v>
      </c>
      <c r="C36" s="15">
        <v>55</v>
      </c>
      <c r="D36" s="15">
        <v>0.2</v>
      </c>
      <c r="E36" s="15">
        <v>2</v>
      </c>
      <c r="F36" s="15">
        <v>0</v>
      </c>
      <c r="G36" s="15">
        <v>2</v>
      </c>
      <c r="H36" s="44">
        <f t="shared" si="0"/>
        <v>0.5</v>
      </c>
      <c r="I36" s="8"/>
      <c r="J36" s="8"/>
      <c r="K36" s="8"/>
      <c r="L36" s="10"/>
      <c r="M36" s="22" t="s">
        <v>132</v>
      </c>
      <c r="N36" s="22" t="s">
        <v>133</v>
      </c>
    </row>
    <row r="37" spans="1:14">
      <c r="A37" s="11"/>
      <c r="B37" s="19">
        <v>54</v>
      </c>
      <c r="C37" s="19">
        <v>55</v>
      </c>
      <c r="D37" s="19">
        <v>0.2</v>
      </c>
      <c r="E37" s="19">
        <v>31</v>
      </c>
      <c r="F37" s="19">
        <v>11</v>
      </c>
      <c r="G37" s="19">
        <v>42</v>
      </c>
      <c r="H37" s="46">
        <f t="shared" si="0"/>
        <v>2.3809523809523808E-2</v>
      </c>
      <c r="I37" s="12"/>
      <c r="J37" s="12"/>
      <c r="K37" s="12">
        <f>SUM(G2:G37)</f>
        <v>293</v>
      </c>
      <c r="L37" s="14">
        <f>SUM(E2:E37)</f>
        <v>204</v>
      </c>
      <c r="M37" s="48">
        <f>22/634</f>
        <v>3.4700315457413249E-2</v>
      </c>
      <c r="N37" s="48">
        <f>30/634</f>
        <v>4.7318611987381701E-2</v>
      </c>
    </row>
    <row r="38" spans="1:14">
      <c r="A38" s="3" t="s">
        <v>84</v>
      </c>
      <c r="B38" s="17">
        <v>55</v>
      </c>
      <c r="C38" s="17">
        <v>60</v>
      </c>
      <c r="D38" s="17">
        <v>0.3</v>
      </c>
      <c r="E38" s="17">
        <v>1</v>
      </c>
      <c r="F38" s="17">
        <v>0</v>
      </c>
      <c r="G38" s="17">
        <v>1</v>
      </c>
      <c r="H38" s="45">
        <f t="shared" si="0"/>
        <v>1</v>
      </c>
      <c r="I38" s="41">
        <f>4/8</f>
        <v>0.5</v>
      </c>
      <c r="J38" s="41">
        <f>11/8</f>
        <v>1.375</v>
      </c>
      <c r="K38" s="4">
        <v>8</v>
      </c>
      <c r="L38" s="6">
        <v>5</v>
      </c>
      <c r="M38" s="22" t="s">
        <v>134</v>
      </c>
      <c r="N38" s="22" t="s">
        <v>135</v>
      </c>
    </row>
    <row r="39" spans="1:14">
      <c r="A39" s="7" t="s">
        <v>33</v>
      </c>
      <c r="B39" s="15">
        <v>55</v>
      </c>
      <c r="C39" s="15">
        <v>60</v>
      </c>
      <c r="D39" s="15">
        <v>0.3</v>
      </c>
      <c r="E39" s="15">
        <v>3</v>
      </c>
      <c r="F39" s="15">
        <v>2</v>
      </c>
      <c r="G39" s="15">
        <v>5</v>
      </c>
      <c r="H39" s="44">
        <f t="shared" si="0"/>
        <v>0.2</v>
      </c>
      <c r="I39" s="8"/>
      <c r="J39" s="8"/>
      <c r="K39" s="8"/>
      <c r="L39" s="10"/>
      <c r="M39" s="48">
        <f>23/282</f>
        <v>8.1560283687943269E-2</v>
      </c>
      <c r="N39" s="48">
        <f>30/282</f>
        <v>0.10638297872340426</v>
      </c>
    </row>
    <row r="40" spans="1:14">
      <c r="A40" s="7"/>
      <c r="B40" s="15">
        <v>55</v>
      </c>
      <c r="C40" s="15">
        <v>60</v>
      </c>
      <c r="D40" s="15">
        <v>0.2</v>
      </c>
      <c r="E40" s="15">
        <v>0</v>
      </c>
      <c r="F40" s="15">
        <v>1</v>
      </c>
      <c r="G40" s="15">
        <v>1</v>
      </c>
      <c r="H40" s="44">
        <f t="shared" si="0"/>
        <v>1</v>
      </c>
      <c r="I40" s="8"/>
      <c r="J40" s="8"/>
      <c r="K40" s="8"/>
      <c r="L40" s="10"/>
      <c r="M40" s="22" t="s">
        <v>136</v>
      </c>
      <c r="N40" s="22" t="s">
        <v>138</v>
      </c>
    </row>
    <row r="41" spans="1:14">
      <c r="A41" s="11"/>
      <c r="B41" s="19">
        <v>55</v>
      </c>
      <c r="C41" s="19">
        <v>60</v>
      </c>
      <c r="D41" s="19">
        <v>0.3</v>
      </c>
      <c r="E41" s="19">
        <v>1</v>
      </c>
      <c r="F41" s="19">
        <v>0</v>
      </c>
      <c r="G41" s="19">
        <v>1</v>
      </c>
      <c r="H41" s="46">
        <f t="shared" si="0"/>
        <v>1</v>
      </c>
      <c r="I41" s="12"/>
      <c r="J41" s="12"/>
      <c r="K41" s="12">
        <f>SUM(G38:G41)</f>
        <v>8</v>
      </c>
      <c r="L41" s="14">
        <f>SUM(E38:E41)</f>
        <v>5</v>
      </c>
      <c r="M41" s="48">
        <f>77/1658</f>
        <v>4.6441495778045835E-2</v>
      </c>
      <c r="N41" s="48">
        <f>100/1658</f>
        <v>6.0313630880579013E-2</v>
      </c>
    </row>
    <row r="42" spans="1:14">
      <c r="A42" s="3" t="s">
        <v>84</v>
      </c>
      <c r="B42" s="17">
        <v>56</v>
      </c>
      <c r="C42" s="17">
        <v>60</v>
      </c>
      <c r="D42" s="17">
        <v>0.1</v>
      </c>
      <c r="E42" s="17">
        <v>1</v>
      </c>
      <c r="F42" s="17">
        <v>0</v>
      </c>
      <c r="G42" s="17">
        <v>1</v>
      </c>
      <c r="H42" s="45">
        <f t="shared" si="0"/>
        <v>1</v>
      </c>
      <c r="I42" s="41">
        <f>9/50</f>
        <v>0.18</v>
      </c>
      <c r="J42" s="41">
        <f>9/50</f>
        <v>0.18</v>
      </c>
      <c r="K42" s="4">
        <v>58</v>
      </c>
      <c r="L42" s="6">
        <v>29</v>
      </c>
      <c r="M42" s="22" t="s">
        <v>137</v>
      </c>
      <c r="N42" s="22" t="s">
        <v>139</v>
      </c>
    </row>
    <row r="43" spans="1:14">
      <c r="A43" s="7" t="s">
        <v>97</v>
      </c>
      <c r="B43" s="15">
        <v>56</v>
      </c>
      <c r="C43" s="15">
        <v>60</v>
      </c>
      <c r="D43" s="15">
        <v>0.1</v>
      </c>
      <c r="E43" s="15">
        <v>2</v>
      </c>
      <c r="F43" s="15">
        <v>2</v>
      </c>
      <c r="G43" s="15">
        <v>4</v>
      </c>
      <c r="H43" s="44">
        <f t="shared" si="0"/>
        <v>0.25</v>
      </c>
      <c r="I43" s="8"/>
      <c r="J43" s="8"/>
      <c r="K43" s="8"/>
      <c r="L43" s="10"/>
      <c r="M43" s="47">
        <f>384/5118</f>
        <v>7.5029308323563887E-2</v>
      </c>
      <c r="N43" s="47">
        <f>500/5118</f>
        <v>9.769441187964048E-2</v>
      </c>
    </row>
    <row r="44" spans="1:14">
      <c r="A44" s="7"/>
      <c r="B44" s="15">
        <v>56</v>
      </c>
      <c r="C44" s="15">
        <v>60</v>
      </c>
      <c r="D44" s="15">
        <v>0.1</v>
      </c>
      <c r="E44" s="15">
        <v>2</v>
      </c>
      <c r="F44" s="15">
        <v>2</v>
      </c>
      <c r="G44" s="15">
        <v>4</v>
      </c>
      <c r="H44" s="44">
        <f t="shared" si="0"/>
        <v>0.25</v>
      </c>
      <c r="I44" s="8"/>
      <c r="J44" s="8"/>
      <c r="K44" s="8"/>
      <c r="L44" s="10"/>
      <c r="M44" s="49" t="s">
        <v>140</v>
      </c>
      <c r="N44" s="49" t="s">
        <v>141</v>
      </c>
    </row>
    <row r="45" spans="1:14">
      <c r="A45" s="7"/>
      <c r="B45" s="15">
        <v>56</v>
      </c>
      <c r="C45" s="15">
        <v>60</v>
      </c>
      <c r="D45" s="15">
        <v>0.1</v>
      </c>
      <c r="E45" s="15">
        <v>3</v>
      </c>
      <c r="F45" s="15">
        <v>2</v>
      </c>
      <c r="G45" s="15">
        <v>5</v>
      </c>
      <c r="H45" s="44">
        <f t="shared" si="0"/>
        <v>0.2</v>
      </c>
      <c r="I45" s="8"/>
      <c r="J45" s="8"/>
      <c r="K45" s="8"/>
      <c r="L45" s="10"/>
      <c r="M45" s="50">
        <f>767/6831</f>
        <v>0.11228224271702533</v>
      </c>
      <c r="N45" s="50">
        <f>1000/6831</f>
        <v>0.14639145073927681</v>
      </c>
    </row>
    <row r="46" spans="1:14">
      <c r="A46" s="7"/>
      <c r="B46" s="15">
        <v>56</v>
      </c>
      <c r="C46" s="15">
        <v>60</v>
      </c>
      <c r="D46" s="15">
        <v>0.1</v>
      </c>
      <c r="E46" s="15">
        <v>5</v>
      </c>
      <c r="F46" s="15">
        <v>4</v>
      </c>
      <c r="G46" s="15">
        <v>9</v>
      </c>
      <c r="H46" s="44">
        <f t="shared" si="0"/>
        <v>0.1111111111111111</v>
      </c>
      <c r="I46" s="8"/>
      <c r="J46" s="8"/>
      <c r="K46" s="8"/>
      <c r="L46" s="10"/>
    </row>
    <row r="47" spans="1:14">
      <c r="A47" s="7"/>
      <c r="B47" s="15">
        <v>56</v>
      </c>
      <c r="C47" s="15">
        <v>60</v>
      </c>
      <c r="D47" s="15">
        <v>0.1</v>
      </c>
      <c r="E47" s="15">
        <v>4</v>
      </c>
      <c r="F47" s="15">
        <v>2</v>
      </c>
      <c r="G47" s="15">
        <v>6</v>
      </c>
      <c r="H47" s="44">
        <f t="shared" si="0"/>
        <v>0.16666666666666666</v>
      </c>
      <c r="I47" s="8"/>
      <c r="J47" s="8"/>
      <c r="K47" s="8"/>
      <c r="L47" s="10"/>
    </row>
    <row r="48" spans="1:14">
      <c r="A48" s="7"/>
      <c r="B48" s="15">
        <v>56</v>
      </c>
      <c r="C48" s="15">
        <v>60</v>
      </c>
      <c r="D48" s="15">
        <v>0.1</v>
      </c>
      <c r="E48" s="15">
        <v>3</v>
      </c>
      <c r="F48" s="15">
        <v>7</v>
      </c>
      <c r="G48" s="15">
        <v>10</v>
      </c>
      <c r="H48" s="44">
        <f t="shared" si="0"/>
        <v>0.1</v>
      </c>
      <c r="I48" s="8"/>
      <c r="J48" s="8"/>
      <c r="K48" s="8"/>
      <c r="L48" s="10"/>
    </row>
    <row r="49" spans="1:12">
      <c r="A49" s="7"/>
      <c r="B49" s="15">
        <v>56</v>
      </c>
      <c r="C49" s="15">
        <v>60</v>
      </c>
      <c r="D49" s="15">
        <v>0.1</v>
      </c>
      <c r="E49" s="15">
        <v>1</v>
      </c>
      <c r="F49" s="15">
        <v>4</v>
      </c>
      <c r="G49" s="15">
        <v>5</v>
      </c>
      <c r="H49" s="44">
        <f t="shared" si="0"/>
        <v>0.2</v>
      </c>
      <c r="I49" s="8"/>
      <c r="J49" s="8"/>
      <c r="K49" s="8"/>
      <c r="L49" s="10"/>
    </row>
    <row r="50" spans="1:12">
      <c r="A50" s="11"/>
      <c r="B50" s="19">
        <v>56</v>
      </c>
      <c r="C50" s="19">
        <v>60</v>
      </c>
      <c r="D50" s="19">
        <v>0.1</v>
      </c>
      <c r="E50" s="19">
        <v>3</v>
      </c>
      <c r="F50" s="19">
        <v>3</v>
      </c>
      <c r="G50" s="19">
        <v>6</v>
      </c>
      <c r="H50" s="46">
        <f t="shared" si="0"/>
        <v>0.16666666666666666</v>
      </c>
      <c r="I50" s="12"/>
      <c r="J50" s="12"/>
      <c r="K50" s="12">
        <f>SUM(G38:G50)</f>
        <v>58</v>
      </c>
      <c r="L50" s="14">
        <f>SUM(E38:E50)</f>
        <v>29</v>
      </c>
    </row>
    <row r="51" spans="1:12">
      <c r="A51" s="3" t="s">
        <v>84</v>
      </c>
      <c r="B51" s="17">
        <v>57</v>
      </c>
      <c r="C51" s="17">
        <v>60</v>
      </c>
      <c r="D51" s="17">
        <v>0.1</v>
      </c>
      <c r="E51" s="17">
        <v>5</v>
      </c>
      <c r="F51" s="17">
        <v>3</v>
      </c>
      <c r="G51" s="17">
        <v>8</v>
      </c>
      <c r="H51" s="45">
        <f t="shared" si="0"/>
        <v>0.125</v>
      </c>
      <c r="I51" s="41">
        <f>6/26</f>
        <v>0.23076923076923078</v>
      </c>
      <c r="J51" s="41">
        <f>10/26</f>
        <v>0.38461538461538464</v>
      </c>
      <c r="K51" s="4">
        <v>84</v>
      </c>
      <c r="L51" s="6">
        <v>44</v>
      </c>
    </row>
    <row r="52" spans="1:12">
      <c r="A52" s="7" t="s">
        <v>12</v>
      </c>
      <c r="B52" s="15">
        <v>57</v>
      </c>
      <c r="C52" s="15">
        <v>60</v>
      </c>
      <c r="D52" s="15">
        <v>0.2</v>
      </c>
      <c r="E52" s="15">
        <v>2</v>
      </c>
      <c r="F52" s="15">
        <v>1</v>
      </c>
      <c r="G52" s="15">
        <v>3</v>
      </c>
      <c r="H52" s="44">
        <f t="shared" si="0"/>
        <v>0.33333333333333331</v>
      </c>
      <c r="I52" s="8"/>
      <c r="J52" s="8"/>
      <c r="K52" s="8"/>
      <c r="L52" s="10"/>
    </row>
    <row r="53" spans="1:12">
      <c r="A53" s="7"/>
      <c r="B53" s="15">
        <v>57</v>
      </c>
      <c r="C53" s="15">
        <v>60</v>
      </c>
      <c r="D53" s="15">
        <v>0.3</v>
      </c>
      <c r="E53" s="15">
        <v>3</v>
      </c>
      <c r="F53" s="15">
        <v>3</v>
      </c>
      <c r="G53" s="15">
        <v>6</v>
      </c>
      <c r="H53" s="44">
        <f t="shared" si="0"/>
        <v>0.16666666666666666</v>
      </c>
      <c r="I53" s="8"/>
      <c r="J53" s="8"/>
      <c r="K53" s="8"/>
      <c r="L53" s="10"/>
    </row>
    <row r="54" spans="1:12">
      <c r="A54" s="7"/>
      <c r="B54" s="15">
        <v>57</v>
      </c>
      <c r="C54" s="15">
        <v>60</v>
      </c>
      <c r="D54" s="15">
        <v>0.2</v>
      </c>
      <c r="E54" s="15">
        <v>1</v>
      </c>
      <c r="F54" s="15">
        <v>2</v>
      </c>
      <c r="G54" s="15">
        <v>3</v>
      </c>
      <c r="H54" s="44">
        <f t="shared" si="0"/>
        <v>0.33333333333333331</v>
      </c>
      <c r="I54" s="8"/>
      <c r="J54" s="8"/>
      <c r="K54" s="8"/>
      <c r="L54" s="10"/>
    </row>
    <row r="55" spans="1:12">
      <c r="A55" s="7"/>
      <c r="B55" s="15">
        <v>57</v>
      </c>
      <c r="C55" s="15">
        <v>60</v>
      </c>
      <c r="D55" s="15">
        <v>0.1</v>
      </c>
      <c r="E55" s="15">
        <v>4</v>
      </c>
      <c r="F55" s="15">
        <v>1</v>
      </c>
      <c r="G55" s="15">
        <v>5</v>
      </c>
      <c r="H55" s="44">
        <f t="shared" si="0"/>
        <v>0.2</v>
      </c>
      <c r="I55" s="8"/>
      <c r="J55" s="8"/>
      <c r="K55" s="8"/>
      <c r="L55" s="10"/>
    </row>
    <row r="56" spans="1:12">
      <c r="A56" s="11"/>
      <c r="B56" s="19">
        <v>57</v>
      </c>
      <c r="C56" s="19">
        <v>60</v>
      </c>
      <c r="D56" s="19">
        <v>0.1</v>
      </c>
      <c r="E56" s="19">
        <v>0</v>
      </c>
      <c r="F56" s="19">
        <v>1</v>
      </c>
      <c r="G56" s="19">
        <v>1</v>
      </c>
      <c r="H56" s="46">
        <f t="shared" si="0"/>
        <v>1</v>
      </c>
      <c r="I56" s="12"/>
      <c r="J56" s="12"/>
      <c r="K56" s="12">
        <f>SUM(G38:G56)</f>
        <v>84</v>
      </c>
      <c r="L56" s="14">
        <f>SUM(E38:E56)</f>
        <v>44</v>
      </c>
    </row>
    <row r="57" spans="1:12">
      <c r="A57" s="3" t="s">
        <v>84</v>
      </c>
      <c r="B57" s="17">
        <v>58</v>
      </c>
      <c r="C57" s="17">
        <v>60</v>
      </c>
      <c r="D57" s="17">
        <v>0.2</v>
      </c>
      <c r="E57" s="17">
        <v>11</v>
      </c>
      <c r="F57" s="17">
        <v>4</v>
      </c>
      <c r="G57" s="17">
        <v>15</v>
      </c>
      <c r="H57" s="45">
        <f t="shared" si="0"/>
        <v>6.6666666666666666E-2</v>
      </c>
      <c r="I57" s="41">
        <f>7/48</f>
        <v>0.14583333333333334</v>
      </c>
      <c r="J57" s="41">
        <f>10/48</f>
        <v>0.20833333333333334</v>
      </c>
      <c r="K57" s="4">
        <v>132</v>
      </c>
      <c r="L57" s="6">
        <v>79</v>
      </c>
    </row>
    <row r="58" spans="1:12">
      <c r="A58" s="7" t="s">
        <v>13</v>
      </c>
      <c r="B58" s="15">
        <v>58</v>
      </c>
      <c r="C58" s="15">
        <v>60</v>
      </c>
      <c r="D58" s="15">
        <v>0.1</v>
      </c>
      <c r="E58" s="15">
        <v>1</v>
      </c>
      <c r="F58" s="15">
        <v>0</v>
      </c>
      <c r="G58" s="15">
        <v>1</v>
      </c>
      <c r="H58" s="44">
        <f t="shared" si="0"/>
        <v>1</v>
      </c>
      <c r="I58" s="8"/>
      <c r="J58" s="8"/>
      <c r="K58" s="8"/>
      <c r="L58" s="10"/>
    </row>
    <row r="59" spans="1:12">
      <c r="A59" s="7"/>
      <c r="B59" s="15">
        <v>58</v>
      </c>
      <c r="C59" s="15">
        <v>60</v>
      </c>
      <c r="D59" s="15">
        <v>0.1</v>
      </c>
      <c r="E59" s="15">
        <v>1</v>
      </c>
      <c r="F59" s="15">
        <v>1</v>
      </c>
      <c r="G59" s="15">
        <v>2</v>
      </c>
      <c r="H59" s="44">
        <f t="shared" si="0"/>
        <v>0.5</v>
      </c>
      <c r="I59" s="8"/>
      <c r="J59" s="8"/>
      <c r="K59" s="8"/>
      <c r="L59" s="10"/>
    </row>
    <row r="60" spans="1:12">
      <c r="A60" s="7"/>
      <c r="B60" s="15">
        <v>58</v>
      </c>
      <c r="C60" s="15">
        <v>60</v>
      </c>
      <c r="D60" s="15">
        <v>0.2</v>
      </c>
      <c r="E60" s="15">
        <v>15</v>
      </c>
      <c r="F60" s="15">
        <v>6</v>
      </c>
      <c r="G60" s="15">
        <v>21</v>
      </c>
      <c r="H60" s="44">
        <f t="shared" si="0"/>
        <v>4.7619047619047616E-2</v>
      </c>
      <c r="I60" s="8"/>
      <c r="J60" s="8"/>
      <c r="K60" s="8"/>
      <c r="L60" s="10"/>
    </row>
    <row r="61" spans="1:12">
      <c r="A61" s="7"/>
      <c r="B61" s="15">
        <v>58</v>
      </c>
      <c r="C61" s="15">
        <v>60</v>
      </c>
      <c r="D61" s="15">
        <v>0.1</v>
      </c>
      <c r="E61" s="15">
        <v>4</v>
      </c>
      <c r="F61" s="15">
        <v>0</v>
      </c>
      <c r="G61" s="15">
        <v>4</v>
      </c>
      <c r="H61" s="44">
        <f t="shared" si="0"/>
        <v>0.25</v>
      </c>
      <c r="I61" s="8"/>
      <c r="J61" s="8"/>
      <c r="K61" s="8"/>
      <c r="L61" s="10"/>
    </row>
    <row r="62" spans="1:12">
      <c r="A62" s="7"/>
      <c r="B62" s="15">
        <v>58</v>
      </c>
      <c r="C62" s="15">
        <v>60</v>
      </c>
      <c r="D62" s="15">
        <v>0.2</v>
      </c>
      <c r="E62" s="15">
        <v>1</v>
      </c>
      <c r="F62" s="15">
        <v>0</v>
      </c>
      <c r="G62" s="15">
        <v>1</v>
      </c>
      <c r="H62" s="44">
        <f t="shared" si="0"/>
        <v>1</v>
      </c>
      <c r="I62" s="8"/>
      <c r="J62" s="8"/>
      <c r="K62" s="8"/>
      <c r="L62" s="10"/>
    </row>
    <row r="63" spans="1:12">
      <c r="A63" s="11"/>
      <c r="B63" s="19">
        <v>58</v>
      </c>
      <c r="C63" s="19">
        <v>60</v>
      </c>
      <c r="D63" s="19">
        <v>0.1</v>
      </c>
      <c r="E63" s="19">
        <v>2</v>
      </c>
      <c r="F63" s="19">
        <v>2</v>
      </c>
      <c r="G63" s="19">
        <v>4</v>
      </c>
      <c r="H63" s="46">
        <f t="shared" si="0"/>
        <v>0.25</v>
      </c>
      <c r="I63" s="12"/>
      <c r="J63" s="12"/>
      <c r="K63" s="12">
        <f>SUM(G38:G63)</f>
        <v>132</v>
      </c>
      <c r="L63" s="14">
        <f>SUM(E38:E63)</f>
        <v>79</v>
      </c>
    </row>
    <row r="64" spans="1:12">
      <c r="A64" s="3" t="s">
        <v>84</v>
      </c>
      <c r="B64" s="17">
        <v>59</v>
      </c>
      <c r="C64" s="17">
        <v>60</v>
      </c>
      <c r="D64" s="17">
        <v>0.2</v>
      </c>
      <c r="E64" s="17">
        <v>7</v>
      </c>
      <c r="F64" s="17">
        <v>3</v>
      </c>
      <c r="G64" s="17">
        <v>10</v>
      </c>
      <c r="H64" s="45">
        <f t="shared" si="0"/>
        <v>0.1</v>
      </c>
      <c r="I64" s="41">
        <f>8/173</f>
        <v>4.6242774566473986E-2</v>
      </c>
      <c r="J64" s="41">
        <f>10/173</f>
        <v>5.7803468208092484E-2</v>
      </c>
      <c r="K64" s="4">
        <v>305</v>
      </c>
      <c r="L64" s="6">
        <v>220</v>
      </c>
    </row>
    <row r="65" spans="1:12">
      <c r="A65" s="7" t="s">
        <v>14</v>
      </c>
      <c r="B65" s="15">
        <v>59</v>
      </c>
      <c r="C65" s="15">
        <v>60</v>
      </c>
      <c r="D65" s="15">
        <v>0.1</v>
      </c>
      <c r="E65" s="15">
        <v>5</v>
      </c>
      <c r="F65" s="15">
        <v>0</v>
      </c>
      <c r="G65" s="15">
        <v>5</v>
      </c>
      <c r="H65" s="44">
        <f t="shared" si="0"/>
        <v>0.2</v>
      </c>
      <c r="I65" s="8"/>
      <c r="J65" s="8"/>
      <c r="K65" s="8"/>
      <c r="L65" s="10"/>
    </row>
    <row r="66" spans="1:12">
      <c r="A66" s="7"/>
      <c r="B66" s="15">
        <v>59</v>
      </c>
      <c r="C66" s="15">
        <v>60</v>
      </c>
      <c r="D66" s="15">
        <v>0.1</v>
      </c>
      <c r="E66" s="15">
        <v>6</v>
      </c>
      <c r="F66" s="15">
        <v>3</v>
      </c>
      <c r="G66" s="15">
        <v>9</v>
      </c>
      <c r="H66" s="44">
        <f t="shared" ref="H66:H129" si="1">1/G66</f>
        <v>0.1111111111111111</v>
      </c>
      <c r="I66" s="8"/>
      <c r="J66" s="8"/>
      <c r="K66" s="8"/>
      <c r="L66" s="10"/>
    </row>
    <row r="67" spans="1:12">
      <c r="A67" s="7"/>
      <c r="B67" s="15">
        <v>59</v>
      </c>
      <c r="C67" s="15">
        <v>60</v>
      </c>
      <c r="D67" s="15">
        <v>0.1</v>
      </c>
      <c r="E67" s="15">
        <v>30</v>
      </c>
      <c r="F67" s="15">
        <v>5</v>
      </c>
      <c r="G67" s="15">
        <v>35</v>
      </c>
      <c r="H67" s="44">
        <f t="shared" si="1"/>
        <v>2.8571428571428571E-2</v>
      </c>
      <c r="I67" s="8"/>
      <c r="J67" s="8"/>
      <c r="K67" s="8"/>
      <c r="L67" s="10"/>
    </row>
    <row r="68" spans="1:12">
      <c r="A68" s="7"/>
      <c r="B68" s="15">
        <v>59</v>
      </c>
      <c r="C68" s="15">
        <v>60</v>
      </c>
      <c r="D68" s="15">
        <v>0.1</v>
      </c>
      <c r="E68" s="15">
        <v>7</v>
      </c>
      <c r="F68" s="15">
        <v>1</v>
      </c>
      <c r="G68" s="15">
        <v>8</v>
      </c>
      <c r="H68" s="44">
        <f t="shared" si="1"/>
        <v>0.125</v>
      </c>
      <c r="I68" s="8"/>
      <c r="J68" s="8"/>
      <c r="K68" s="8"/>
      <c r="L68" s="10"/>
    </row>
    <row r="69" spans="1:12">
      <c r="A69" s="7"/>
      <c r="B69" s="15">
        <v>59</v>
      </c>
      <c r="C69" s="15">
        <v>60</v>
      </c>
      <c r="D69" s="15">
        <v>0.1</v>
      </c>
      <c r="E69" s="15">
        <v>24</v>
      </c>
      <c r="F69" s="15">
        <v>3</v>
      </c>
      <c r="G69" s="15">
        <v>27</v>
      </c>
      <c r="H69" s="44">
        <f t="shared" si="1"/>
        <v>3.7037037037037035E-2</v>
      </c>
      <c r="I69" s="8"/>
      <c r="J69" s="8"/>
      <c r="K69" s="8"/>
      <c r="L69" s="10"/>
    </row>
    <row r="70" spans="1:12">
      <c r="A70" s="7"/>
      <c r="B70" s="15">
        <v>59</v>
      </c>
      <c r="C70" s="15">
        <v>60</v>
      </c>
      <c r="D70" s="15">
        <v>0.2</v>
      </c>
      <c r="E70" s="15">
        <v>31</v>
      </c>
      <c r="F70" s="15">
        <v>7</v>
      </c>
      <c r="G70" s="15">
        <v>38</v>
      </c>
      <c r="H70" s="44">
        <f t="shared" si="1"/>
        <v>2.6315789473684209E-2</v>
      </c>
      <c r="I70" s="8"/>
      <c r="J70" s="8"/>
      <c r="K70" s="8"/>
      <c r="L70" s="10"/>
    </row>
    <row r="71" spans="1:12">
      <c r="A71" s="11"/>
      <c r="B71" s="19">
        <v>59</v>
      </c>
      <c r="C71" s="19">
        <v>60</v>
      </c>
      <c r="D71" s="19">
        <v>0.1</v>
      </c>
      <c r="E71" s="19">
        <v>31</v>
      </c>
      <c r="F71" s="19">
        <v>10</v>
      </c>
      <c r="G71" s="19">
        <v>41</v>
      </c>
      <c r="H71" s="46">
        <f t="shared" si="1"/>
        <v>2.4390243902439025E-2</v>
      </c>
      <c r="I71" s="12"/>
      <c r="J71" s="12"/>
      <c r="K71" s="12">
        <f>SUM(G38:G71)</f>
        <v>305</v>
      </c>
      <c r="L71" s="14">
        <f>SUM(E38:E71)</f>
        <v>220</v>
      </c>
    </row>
    <row r="72" spans="1:12">
      <c r="A72" s="3" t="s">
        <v>85</v>
      </c>
      <c r="B72" s="17">
        <v>60</v>
      </c>
      <c r="C72" s="17">
        <v>64</v>
      </c>
      <c r="D72" s="17">
        <v>0.1</v>
      </c>
      <c r="E72" s="17">
        <v>1</v>
      </c>
      <c r="F72" s="17">
        <v>0</v>
      </c>
      <c r="G72" s="17">
        <v>1</v>
      </c>
      <c r="H72" s="45">
        <f t="shared" si="1"/>
        <v>1</v>
      </c>
      <c r="I72" s="41">
        <f>10/37</f>
        <v>0.27027027027027029</v>
      </c>
      <c r="J72" s="41">
        <f>10/37</f>
        <v>0.27027027027027029</v>
      </c>
      <c r="K72" s="4">
        <v>37</v>
      </c>
      <c r="L72" s="6">
        <v>24</v>
      </c>
    </row>
    <row r="73" spans="1:12">
      <c r="A73" s="7" t="s">
        <v>97</v>
      </c>
      <c r="B73" s="15">
        <v>60</v>
      </c>
      <c r="C73" s="15">
        <v>64</v>
      </c>
      <c r="D73" s="15">
        <v>0.1</v>
      </c>
      <c r="E73" s="15">
        <v>2</v>
      </c>
      <c r="F73" s="15">
        <v>0</v>
      </c>
      <c r="G73" s="15">
        <v>2</v>
      </c>
      <c r="H73" s="44">
        <f t="shared" si="1"/>
        <v>0.5</v>
      </c>
      <c r="I73" s="8"/>
      <c r="J73" s="8"/>
      <c r="K73" s="8"/>
      <c r="L73" s="10"/>
    </row>
    <row r="74" spans="1:12">
      <c r="A74" s="7"/>
      <c r="B74" s="15">
        <v>60</v>
      </c>
      <c r="C74" s="15">
        <v>64</v>
      </c>
      <c r="D74" s="15">
        <v>0.1</v>
      </c>
      <c r="E74" s="15">
        <v>1</v>
      </c>
      <c r="F74" s="15">
        <v>2</v>
      </c>
      <c r="G74" s="15">
        <v>3</v>
      </c>
      <c r="H74" s="44">
        <f t="shared" si="1"/>
        <v>0.33333333333333331</v>
      </c>
      <c r="I74" s="8"/>
      <c r="J74" s="8"/>
      <c r="K74" s="8"/>
      <c r="L74" s="10"/>
    </row>
    <row r="75" spans="1:12">
      <c r="A75" s="7"/>
      <c r="B75" s="15">
        <v>60</v>
      </c>
      <c r="C75" s="15">
        <v>64</v>
      </c>
      <c r="D75" s="15">
        <v>0.1</v>
      </c>
      <c r="E75" s="15">
        <v>2</v>
      </c>
      <c r="F75" s="15">
        <v>1</v>
      </c>
      <c r="G75" s="15">
        <v>3</v>
      </c>
      <c r="H75" s="44">
        <f t="shared" si="1"/>
        <v>0.33333333333333331</v>
      </c>
      <c r="I75" s="8"/>
      <c r="J75" s="8"/>
      <c r="K75" s="8"/>
      <c r="L75" s="10"/>
    </row>
    <row r="76" spans="1:12">
      <c r="A76" s="7"/>
      <c r="B76" s="15">
        <v>60</v>
      </c>
      <c r="C76" s="15">
        <v>64</v>
      </c>
      <c r="D76" s="15">
        <v>0.1</v>
      </c>
      <c r="E76" s="15">
        <v>2</v>
      </c>
      <c r="F76" s="15">
        <v>1</v>
      </c>
      <c r="G76" s="15">
        <v>3</v>
      </c>
      <c r="H76" s="44">
        <f t="shared" si="1"/>
        <v>0.33333333333333331</v>
      </c>
      <c r="I76" s="8"/>
      <c r="J76" s="8"/>
      <c r="K76" s="8"/>
      <c r="L76" s="10"/>
    </row>
    <row r="77" spans="1:12">
      <c r="A77" s="7"/>
      <c r="B77" s="15">
        <v>60</v>
      </c>
      <c r="C77" s="15">
        <v>64</v>
      </c>
      <c r="D77" s="15">
        <v>0.1</v>
      </c>
      <c r="E77" s="15">
        <v>2</v>
      </c>
      <c r="F77" s="15">
        <v>0</v>
      </c>
      <c r="G77" s="15">
        <v>2</v>
      </c>
      <c r="H77" s="44">
        <f t="shared" si="1"/>
        <v>0.5</v>
      </c>
      <c r="I77" s="8"/>
      <c r="J77" s="8"/>
      <c r="K77" s="8"/>
      <c r="L77" s="10"/>
    </row>
    <row r="78" spans="1:12">
      <c r="A78" s="7"/>
      <c r="B78" s="15">
        <v>60</v>
      </c>
      <c r="C78" s="15">
        <v>64</v>
      </c>
      <c r="D78" s="15">
        <v>0.1</v>
      </c>
      <c r="E78" s="15">
        <v>1</v>
      </c>
      <c r="F78" s="15">
        <v>1</v>
      </c>
      <c r="G78" s="15">
        <v>2</v>
      </c>
      <c r="H78" s="44">
        <f t="shared" si="1"/>
        <v>0.5</v>
      </c>
      <c r="I78" s="8"/>
      <c r="J78" s="8"/>
      <c r="K78" s="8"/>
      <c r="L78" s="10"/>
    </row>
    <row r="79" spans="1:12">
      <c r="A79" s="7"/>
      <c r="B79" s="15">
        <v>60</v>
      </c>
      <c r="C79" s="15">
        <v>64</v>
      </c>
      <c r="D79" s="15">
        <v>0.1</v>
      </c>
      <c r="E79" s="15">
        <v>3</v>
      </c>
      <c r="F79" s="15">
        <v>0</v>
      </c>
      <c r="G79" s="15">
        <v>3</v>
      </c>
      <c r="H79" s="44">
        <f t="shared" si="1"/>
        <v>0.33333333333333331</v>
      </c>
      <c r="I79" s="8"/>
      <c r="J79" s="8"/>
      <c r="K79" s="8"/>
      <c r="L79" s="10"/>
    </row>
    <row r="80" spans="1:12">
      <c r="A80" s="7"/>
      <c r="B80" s="15">
        <v>60</v>
      </c>
      <c r="C80" s="15">
        <v>64</v>
      </c>
      <c r="D80" s="15">
        <v>0.1</v>
      </c>
      <c r="E80" s="15">
        <v>4</v>
      </c>
      <c r="F80" s="15">
        <v>7</v>
      </c>
      <c r="G80" s="15">
        <v>11</v>
      </c>
      <c r="H80" s="44">
        <f t="shared" si="1"/>
        <v>9.0909090909090912E-2</v>
      </c>
      <c r="I80" s="8"/>
      <c r="J80" s="8"/>
      <c r="K80" s="8"/>
      <c r="L80" s="10"/>
    </row>
    <row r="81" spans="1:12">
      <c r="A81" s="11"/>
      <c r="B81" s="19">
        <v>60</v>
      </c>
      <c r="C81" s="19">
        <v>64</v>
      </c>
      <c r="D81" s="19">
        <v>0.1</v>
      </c>
      <c r="E81" s="19">
        <v>6</v>
      </c>
      <c r="F81" s="19">
        <v>1</v>
      </c>
      <c r="G81" s="19">
        <v>7</v>
      </c>
      <c r="H81" s="46">
        <f t="shared" si="1"/>
        <v>0.14285714285714285</v>
      </c>
      <c r="I81" s="12"/>
      <c r="J81" s="12"/>
      <c r="K81" s="12">
        <f>SUM(G72:G81)</f>
        <v>37</v>
      </c>
      <c r="L81" s="14">
        <f>SUM(E72:E81)</f>
        <v>24</v>
      </c>
    </row>
    <row r="82" spans="1:12">
      <c r="A82" s="3" t="s">
        <v>85</v>
      </c>
      <c r="B82" s="17">
        <v>61</v>
      </c>
      <c r="C82" s="17">
        <v>64</v>
      </c>
      <c r="D82" s="17">
        <v>0.2</v>
      </c>
      <c r="E82" s="17">
        <v>2</v>
      </c>
      <c r="F82" s="17">
        <v>0</v>
      </c>
      <c r="G82" s="17">
        <v>2</v>
      </c>
      <c r="H82" s="45">
        <f t="shared" si="1"/>
        <v>0.5</v>
      </c>
      <c r="I82" s="41">
        <f>7/40</f>
        <v>0.17499999999999999</v>
      </c>
      <c r="J82" s="41">
        <f>10/40</f>
        <v>0.25</v>
      </c>
      <c r="K82" s="4">
        <v>77</v>
      </c>
      <c r="L82" s="6">
        <v>52</v>
      </c>
    </row>
    <row r="83" spans="1:12">
      <c r="A83" s="7" t="s">
        <v>12</v>
      </c>
      <c r="B83" s="15">
        <v>61</v>
      </c>
      <c r="C83" s="15">
        <v>64</v>
      </c>
      <c r="D83" s="15">
        <v>0.1</v>
      </c>
      <c r="E83" s="15">
        <v>2</v>
      </c>
      <c r="F83" s="15">
        <v>0</v>
      </c>
      <c r="G83" s="15">
        <v>2</v>
      </c>
      <c r="H83" s="44">
        <f t="shared" si="1"/>
        <v>0.5</v>
      </c>
      <c r="I83" s="8"/>
      <c r="J83" s="8"/>
      <c r="K83" s="8"/>
      <c r="L83" s="10"/>
    </row>
    <row r="84" spans="1:12">
      <c r="A84" s="7"/>
      <c r="B84" s="15">
        <v>61</v>
      </c>
      <c r="C84" s="15">
        <v>64</v>
      </c>
      <c r="D84" s="15">
        <v>0.1</v>
      </c>
      <c r="E84" s="15">
        <v>2</v>
      </c>
      <c r="F84" s="15">
        <v>2</v>
      </c>
      <c r="G84" s="15">
        <v>4</v>
      </c>
      <c r="H84" s="44">
        <f t="shared" si="1"/>
        <v>0.25</v>
      </c>
      <c r="I84" s="8"/>
      <c r="J84" s="8"/>
      <c r="K84" s="8"/>
      <c r="L84" s="10"/>
    </row>
    <row r="85" spans="1:12">
      <c r="A85" s="7"/>
      <c r="B85" s="15">
        <v>61</v>
      </c>
      <c r="C85" s="15">
        <v>64</v>
      </c>
      <c r="D85" s="15">
        <v>0.2</v>
      </c>
      <c r="E85" s="15">
        <v>4</v>
      </c>
      <c r="F85" s="15">
        <v>1</v>
      </c>
      <c r="G85" s="15">
        <v>5</v>
      </c>
      <c r="H85" s="44">
        <f t="shared" si="1"/>
        <v>0.2</v>
      </c>
      <c r="I85" s="8"/>
      <c r="J85" s="8"/>
      <c r="K85" s="8"/>
      <c r="L85" s="10"/>
    </row>
    <row r="86" spans="1:12">
      <c r="A86" s="7"/>
      <c r="B86" s="15">
        <v>61</v>
      </c>
      <c r="C86" s="15">
        <v>64</v>
      </c>
      <c r="D86" s="15">
        <v>0.2</v>
      </c>
      <c r="E86" s="15">
        <v>4</v>
      </c>
      <c r="F86" s="15">
        <v>2</v>
      </c>
      <c r="G86" s="15">
        <v>6</v>
      </c>
      <c r="H86" s="44">
        <f t="shared" si="1"/>
        <v>0.16666666666666666</v>
      </c>
      <c r="I86" s="8"/>
      <c r="J86" s="8"/>
      <c r="K86" s="8"/>
      <c r="L86" s="10"/>
    </row>
    <row r="87" spans="1:12">
      <c r="A87" s="7"/>
      <c r="B87" s="15">
        <v>61</v>
      </c>
      <c r="C87" s="15">
        <v>64</v>
      </c>
      <c r="D87" s="15">
        <v>0.1</v>
      </c>
      <c r="E87" s="15">
        <v>10</v>
      </c>
      <c r="F87" s="15">
        <v>3</v>
      </c>
      <c r="G87" s="15">
        <v>13</v>
      </c>
      <c r="H87" s="44">
        <f t="shared" si="1"/>
        <v>7.6923076923076927E-2</v>
      </c>
      <c r="I87" s="8"/>
      <c r="J87" s="8"/>
      <c r="K87" s="8"/>
      <c r="L87" s="10"/>
    </row>
    <row r="88" spans="1:12">
      <c r="A88" s="11"/>
      <c r="B88" s="19">
        <v>61</v>
      </c>
      <c r="C88" s="19">
        <v>64</v>
      </c>
      <c r="D88" s="19">
        <v>0.1</v>
      </c>
      <c r="E88" s="19">
        <v>4</v>
      </c>
      <c r="F88" s="19">
        <v>4</v>
      </c>
      <c r="G88" s="19">
        <v>8</v>
      </c>
      <c r="H88" s="46">
        <f t="shared" si="1"/>
        <v>0.125</v>
      </c>
      <c r="I88" s="12"/>
      <c r="J88" s="12"/>
      <c r="K88" s="12">
        <f>SUM(G72:G88)</f>
        <v>77</v>
      </c>
      <c r="L88" s="14">
        <f>SUM(E72:E88)</f>
        <v>52</v>
      </c>
    </row>
    <row r="89" spans="1:12">
      <c r="A89" s="3" t="s">
        <v>85</v>
      </c>
      <c r="B89" s="17">
        <v>62</v>
      </c>
      <c r="C89" s="17">
        <v>64</v>
      </c>
      <c r="D89" s="17">
        <v>0.1</v>
      </c>
      <c r="E89" s="17">
        <v>10</v>
      </c>
      <c r="F89" s="17">
        <v>5</v>
      </c>
      <c r="G89" s="17">
        <v>15</v>
      </c>
      <c r="H89" s="45">
        <f t="shared" si="1"/>
        <v>6.6666666666666666E-2</v>
      </c>
      <c r="I89" s="41">
        <f>8/109</f>
        <v>7.3394495412844041E-2</v>
      </c>
      <c r="J89" s="41">
        <f>10/109</f>
        <v>9.1743119266055051E-2</v>
      </c>
      <c r="K89" s="4">
        <v>186</v>
      </c>
      <c r="L89" s="6">
        <v>129</v>
      </c>
    </row>
    <row r="90" spans="1:12">
      <c r="A90" s="7" t="s">
        <v>13</v>
      </c>
      <c r="B90" s="15">
        <v>62</v>
      </c>
      <c r="C90" s="15">
        <v>64</v>
      </c>
      <c r="D90" s="15">
        <v>0.2</v>
      </c>
      <c r="E90" s="15">
        <v>8</v>
      </c>
      <c r="F90" s="15">
        <v>4</v>
      </c>
      <c r="G90" s="15">
        <v>12</v>
      </c>
      <c r="H90" s="44">
        <f t="shared" si="1"/>
        <v>8.3333333333333329E-2</v>
      </c>
      <c r="I90" s="8"/>
      <c r="J90" s="8"/>
      <c r="K90" s="8"/>
      <c r="L90" s="10"/>
    </row>
    <row r="91" spans="1:12">
      <c r="A91" s="7"/>
      <c r="B91" s="15">
        <v>62</v>
      </c>
      <c r="C91" s="15">
        <v>64</v>
      </c>
      <c r="D91" s="15">
        <v>0.1</v>
      </c>
      <c r="E91" s="15">
        <v>3</v>
      </c>
      <c r="F91" s="15">
        <v>3</v>
      </c>
      <c r="G91" s="15">
        <v>6</v>
      </c>
      <c r="H91" s="44">
        <f t="shared" si="1"/>
        <v>0.16666666666666666</v>
      </c>
      <c r="I91" s="8"/>
      <c r="J91" s="8"/>
      <c r="K91" s="8"/>
      <c r="L91" s="10"/>
    </row>
    <row r="92" spans="1:12">
      <c r="A92" s="7"/>
      <c r="B92" s="15">
        <v>62</v>
      </c>
      <c r="C92" s="15">
        <v>64</v>
      </c>
      <c r="D92" s="15">
        <v>0.1</v>
      </c>
      <c r="E92" s="15">
        <v>6</v>
      </c>
      <c r="F92" s="15">
        <v>4</v>
      </c>
      <c r="G92" s="15">
        <v>10</v>
      </c>
      <c r="H92" s="44">
        <f t="shared" si="1"/>
        <v>0.1</v>
      </c>
      <c r="I92" s="8"/>
      <c r="J92" s="8"/>
      <c r="K92" s="8"/>
      <c r="L92" s="10"/>
    </row>
    <row r="93" spans="1:12">
      <c r="A93" s="7"/>
      <c r="B93" s="15">
        <v>62</v>
      </c>
      <c r="C93" s="15">
        <v>64</v>
      </c>
      <c r="D93" s="15">
        <v>0.2</v>
      </c>
      <c r="E93" s="15">
        <v>14</v>
      </c>
      <c r="F93" s="15">
        <v>5</v>
      </c>
      <c r="G93" s="15">
        <v>19</v>
      </c>
      <c r="H93" s="44">
        <f t="shared" si="1"/>
        <v>5.2631578947368418E-2</v>
      </c>
      <c r="I93" s="8"/>
      <c r="J93" s="8"/>
      <c r="K93" s="8"/>
      <c r="L93" s="10"/>
    </row>
    <row r="94" spans="1:12">
      <c r="A94" s="7"/>
      <c r="B94" s="15">
        <v>62</v>
      </c>
      <c r="C94" s="15">
        <v>64</v>
      </c>
      <c r="D94" s="15">
        <v>0.1</v>
      </c>
      <c r="E94" s="15">
        <v>11</v>
      </c>
      <c r="F94" s="15">
        <v>3</v>
      </c>
      <c r="G94" s="15">
        <v>14</v>
      </c>
      <c r="H94" s="44">
        <f t="shared" si="1"/>
        <v>7.1428571428571425E-2</v>
      </c>
      <c r="I94" s="8"/>
      <c r="J94" s="8"/>
      <c r="K94" s="8"/>
      <c r="L94" s="10"/>
    </row>
    <row r="95" spans="1:12">
      <c r="A95" s="7"/>
      <c r="B95" s="15">
        <v>62</v>
      </c>
      <c r="C95" s="15">
        <v>64</v>
      </c>
      <c r="D95" s="15">
        <v>0.1</v>
      </c>
      <c r="E95" s="15">
        <v>23</v>
      </c>
      <c r="F95" s="15">
        <v>6</v>
      </c>
      <c r="G95" s="15">
        <v>29</v>
      </c>
      <c r="H95" s="44">
        <f t="shared" si="1"/>
        <v>3.4482758620689655E-2</v>
      </c>
      <c r="I95" s="8"/>
      <c r="J95" s="8"/>
      <c r="K95" s="8"/>
      <c r="L95" s="10"/>
    </row>
    <row r="96" spans="1:12">
      <c r="A96" s="11"/>
      <c r="B96" s="19">
        <v>62</v>
      </c>
      <c r="C96" s="19">
        <v>64</v>
      </c>
      <c r="D96" s="19">
        <v>0.1</v>
      </c>
      <c r="E96" s="19">
        <v>2</v>
      </c>
      <c r="F96" s="19">
        <v>2</v>
      </c>
      <c r="G96" s="19">
        <v>4</v>
      </c>
      <c r="H96" s="46">
        <f t="shared" si="1"/>
        <v>0.25</v>
      </c>
      <c r="I96" s="12"/>
      <c r="J96" s="12"/>
      <c r="K96" s="12">
        <f>SUM(G72:G96)</f>
        <v>186</v>
      </c>
      <c r="L96" s="14">
        <f>SUM(E72:E96)</f>
        <v>129</v>
      </c>
    </row>
    <row r="97" spans="1:12">
      <c r="A97" s="3" t="s">
        <v>85</v>
      </c>
      <c r="B97" s="17">
        <v>63</v>
      </c>
      <c r="C97" s="17">
        <v>64</v>
      </c>
      <c r="D97" s="17">
        <v>0.1</v>
      </c>
      <c r="E97" s="17">
        <v>4</v>
      </c>
      <c r="F97" s="17">
        <v>2</v>
      </c>
      <c r="G97" s="17">
        <v>6</v>
      </c>
      <c r="H97" s="45">
        <f t="shared" si="1"/>
        <v>0.16666666666666666</v>
      </c>
      <c r="I97" s="41">
        <f>10/151</f>
        <v>6.6225165562913912E-2</v>
      </c>
      <c r="J97" s="41">
        <f>10/151</f>
        <v>6.6225165562913912E-2</v>
      </c>
      <c r="K97" s="4">
        <v>337</v>
      </c>
      <c r="L97" s="6">
        <v>251</v>
      </c>
    </row>
    <row r="98" spans="1:12">
      <c r="A98" s="7" t="s">
        <v>14</v>
      </c>
      <c r="B98" s="15">
        <v>63</v>
      </c>
      <c r="C98" s="15">
        <v>64</v>
      </c>
      <c r="D98" s="15">
        <v>0.1</v>
      </c>
      <c r="E98" s="15">
        <v>21</v>
      </c>
      <c r="F98" s="15">
        <v>1</v>
      </c>
      <c r="G98" s="15">
        <v>22</v>
      </c>
      <c r="H98" s="44">
        <f t="shared" si="1"/>
        <v>4.5454545454545456E-2</v>
      </c>
      <c r="I98" s="8"/>
      <c r="J98" s="8"/>
      <c r="K98" s="8"/>
      <c r="L98" s="10"/>
    </row>
    <row r="99" spans="1:12">
      <c r="A99" s="7"/>
      <c r="B99" s="15">
        <v>63</v>
      </c>
      <c r="C99" s="15">
        <v>64</v>
      </c>
      <c r="D99" s="15">
        <v>0.1</v>
      </c>
      <c r="E99" s="15">
        <v>18</v>
      </c>
      <c r="F99" s="15">
        <v>5</v>
      </c>
      <c r="G99" s="15">
        <v>23</v>
      </c>
      <c r="H99" s="44">
        <f t="shared" si="1"/>
        <v>4.3478260869565216E-2</v>
      </c>
      <c r="I99" s="8"/>
      <c r="J99" s="8"/>
      <c r="K99" s="8"/>
      <c r="L99" s="10"/>
    </row>
    <row r="100" spans="1:12">
      <c r="A100" s="7"/>
      <c r="B100" s="15">
        <v>63</v>
      </c>
      <c r="C100" s="15">
        <v>64</v>
      </c>
      <c r="D100" s="15">
        <v>0.1</v>
      </c>
      <c r="E100" s="15">
        <v>3</v>
      </c>
      <c r="F100" s="15">
        <v>0</v>
      </c>
      <c r="G100" s="15">
        <v>3</v>
      </c>
      <c r="H100" s="44">
        <f t="shared" si="1"/>
        <v>0.33333333333333331</v>
      </c>
      <c r="I100" s="8"/>
      <c r="J100" s="8"/>
      <c r="K100" s="8"/>
      <c r="L100" s="10"/>
    </row>
    <row r="101" spans="1:12">
      <c r="A101" s="7"/>
      <c r="B101" s="15">
        <v>63</v>
      </c>
      <c r="C101" s="15">
        <v>64</v>
      </c>
      <c r="D101" s="15">
        <v>0.1</v>
      </c>
      <c r="E101" s="15">
        <v>10</v>
      </c>
      <c r="F101" s="15">
        <v>3</v>
      </c>
      <c r="G101" s="15">
        <v>13</v>
      </c>
      <c r="H101" s="44">
        <f t="shared" si="1"/>
        <v>7.6923076923076927E-2</v>
      </c>
      <c r="I101" s="8"/>
      <c r="J101" s="8"/>
      <c r="K101" s="8"/>
      <c r="L101" s="10"/>
    </row>
    <row r="102" spans="1:12">
      <c r="A102" s="7"/>
      <c r="B102" s="15">
        <v>63</v>
      </c>
      <c r="C102" s="15">
        <v>64</v>
      </c>
      <c r="D102" s="15">
        <v>0.1</v>
      </c>
      <c r="E102" s="15">
        <v>25</v>
      </c>
      <c r="F102" s="15">
        <v>7</v>
      </c>
      <c r="G102" s="15">
        <v>32</v>
      </c>
      <c r="H102" s="44">
        <f t="shared" si="1"/>
        <v>3.125E-2</v>
      </c>
      <c r="I102" s="8"/>
      <c r="J102" s="8"/>
      <c r="K102" s="8"/>
      <c r="L102" s="10"/>
    </row>
    <row r="103" spans="1:12">
      <c r="A103" s="7"/>
      <c r="B103" s="15">
        <v>63</v>
      </c>
      <c r="C103" s="15">
        <v>64</v>
      </c>
      <c r="D103" s="15">
        <v>0.1</v>
      </c>
      <c r="E103" s="15">
        <v>4</v>
      </c>
      <c r="F103" s="15">
        <v>0</v>
      </c>
      <c r="G103" s="15">
        <v>4</v>
      </c>
      <c r="H103" s="44">
        <f t="shared" si="1"/>
        <v>0.25</v>
      </c>
      <c r="I103" s="8"/>
      <c r="J103" s="8"/>
      <c r="K103" s="8"/>
      <c r="L103" s="10"/>
    </row>
    <row r="104" spans="1:12">
      <c r="A104" s="7"/>
      <c r="B104" s="15">
        <v>63</v>
      </c>
      <c r="C104" s="15">
        <v>64</v>
      </c>
      <c r="D104" s="15">
        <v>0.1</v>
      </c>
      <c r="E104" s="15">
        <v>1</v>
      </c>
      <c r="F104" s="15">
        <v>0</v>
      </c>
      <c r="G104" s="15">
        <v>1</v>
      </c>
      <c r="H104" s="44">
        <f t="shared" si="1"/>
        <v>1</v>
      </c>
      <c r="I104" s="8"/>
      <c r="J104" s="8"/>
      <c r="K104" s="8"/>
      <c r="L104" s="10"/>
    </row>
    <row r="105" spans="1:12">
      <c r="A105" s="7"/>
      <c r="B105" s="15">
        <v>63</v>
      </c>
      <c r="C105" s="15">
        <v>64</v>
      </c>
      <c r="D105" s="15">
        <v>0.1</v>
      </c>
      <c r="E105" s="15">
        <v>21</v>
      </c>
      <c r="F105" s="15">
        <v>7</v>
      </c>
      <c r="G105" s="15">
        <v>28</v>
      </c>
      <c r="H105" s="44">
        <f t="shared" si="1"/>
        <v>3.5714285714285712E-2</v>
      </c>
      <c r="I105" s="8"/>
      <c r="J105" s="8"/>
      <c r="K105" s="8"/>
      <c r="L105" s="10"/>
    </row>
    <row r="106" spans="1:12">
      <c r="A106" s="11"/>
      <c r="B106" s="19">
        <v>63</v>
      </c>
      <c r="C106" s="19">
        <v>64</v>
      </c>
      <c r="D106" s="19">
        <v>0.1</v>
      </c>
      <c r="E106" s="19">
        <v>15</v>
      </c>
      <c r="F106" s="19">
        <v>4</v>
      </c>
      <c r="G106" s="19">
        <v>19</v>
      </c>
      <c r="H106" s="46">
        <f t="shared" si="1"/>
        <v>5.2631578947368418E-2</v>
      </c>
      <c r="I106" s="12"/>
      <c r="J106" s="12"/>
      <c r="K106" s="12">
        <f>SUM(G72:G106)</f>
        <v>337</v>
      </c>
      <c r="L106" s="14">
        <f>SUM(E72:E106)</f>
        <v>251</v>
      </c>
    </row>
    <row r="107" spans="1:12">
      <c r="A107" s="3" t="s">
        <v>86</v>
      </c>
      <c r="B107" s="17">
        <v>64</v>
      </c>
      <c r="C107" s="17">
        <v>68</v>
      </c>
      <c r="D107" s="17">
        <v>0.1</v>
      </c>
      <c r="E107" s="17">
        <v>0</v>
      </c>
      <c r="F107" s="17">
        <v>1</v>
      </c>
      <c r="G107" s="17">
        <v>1</v>
      </c>
      <c r="H107" s="45">
        <f t="shared" si="1"/>
        <v>1</v>
      </c>
      <c r="I107" s="41">
        <f>7/15</f>
        <v>0.46666666666666667</v>
      </c>
      <c r="J107" s="41">
        <f>10/15</f>
        <v>0.66666666666666663</v>
      </c>
      <c r="K107" s="4">
        <v>15</v>
      </c>
      <c r="L107" s="6">
        <v>10</v>
      </c>
    </row>
    <row r="108" spans="1:12">
      <c r="A108" s="7" t="s">
        <v>97</v>
      </c>
      <c r="B108" s="15">
        <v>64</v>
      </c>
      <c r="C108" s="15">
        <v>68</v>
      </c>
      <c r="D108" s="15">
        <v>0.2</v>
      </c>
      <c r="E108" s="15">
        <v>1</v>
      </c>
      <c r="F108" s="15">
        <v>1</v>
      </c>
      <c r="G108" s="15">
        <v>2</v>
      </c>
      <c r="H108" s="44">
        <f t="shared" si="1"/>
        <v>0.5</v>
      </c>
      <c r="I108" s="8"/>
      <c r="J108" s="8"/>
      <c r="K108" s="8"/>
      <c r="L108" s="10"/>
    </row>
    <row r="109" spans="1:12">
      <c r="A109" s="7"/>
      <c r="B109" s="15">
        <v>64</v>
      </c>
      <c r="C109" s="15">
        <v>68</v>
      </c>
      <c r="D109" s="15">
        <v>0.3</v>
      </c>
      <c r="E109" s="15">
        <v>1</v>
      </c>
      <c r="F109" s="15">
        <v>0</v>
      </c>
      <c r="G109" s="15">
        <v>1</v>
      </c>
      <c r="H109" s="44">
        <f t="shared" si="1"/>
        <v>1</v>
      </c>
      <c r="I109" s="8"/>
      <c r="J109" s="8"/>
      <c r="K109" s="8"/>
      <c r="L109" s="10"/>
    </row>
    <row r="110" spans="1:12">
      <c r="A110" s="7"/>
      <c r="B110" s="15">
        <v>64</v>
      </c>
      <c r="C110" s="15">
        <v>68</v>
      </c>
      <c r="D110" s="15">
        <v>0.1</v>
      </c>
      <c r="E110" s="15">
        <v>5</v>
      </c>
      <c r="F110" s="15">
        <v>1</v>
      </c>
      <c r="G110" s="15">
        <v>6</v>
      </c>
      <c r="H110" s="44">
        <f t="shared" si="1"/>
        <v>0.16666666666666666</v>
      </c>
      <c r="I110" s="8"/>
      <c r="J110" s="8"/>
      <c r="K110" s="8"/>
      <c r="L110" s="10"/>
    </row>
    <row r="111" spans="1:12">
      <c r="A111" s="7"/>
      <c r="B111" s="15">
        <v>64</v>
      </c>
      <c r="C111" s="15">
        <v>68</v>
      </c>
      <c r="D111" s="15">
        <v>0.1</v>
      </c>
      <c r="E111" s="15">
        <v>1</v>
      </c>
      <c r="F111" s="15">
        <v>0</v>
      </c>
      <c r="G111" s="15">
        <v>1</v>
      </c>
      <c r="H111" s="44">
        <f t="shared" si="1"/>
        <v>1</v>
      </c>
      <c r="I111" s="8"/>
      <c r="J111" s="8"/>
      <c r="K111" s="8"/>
      <c r="L111" s="10"/>
    </row>
    <row r="112" spans="1:12">
      <c r="A112" s="7"/>
      <c r="B112" s="15">
        <v>64</v>
      </c>
      <c r="C112" s="15">
        <v>68</v>
      </c>
      <c r="D112" s="15">
        <v>0.1</v>
      </c>
      <c r="E112" s="15">
        <v>1</v>
      </c>
      <c r="F112" s="15">
        <v>1</v>
      </c>
      <c r="G112" s="15">
        <v>2</v>
      </c>
      <c r="H112" s="44">
        <f t="shared" si="1"/>
        <v>0.5</v>
      </c>
      <c r="I112" s="8"/>
      <c r="J112" s="8"/>
      <c r="K112" s="8"/>
      <c r="L112" s="10"/>
    </row>
    <row r="113" spans="1:12">
      <c r="A113" s="11"/>
      <c r="B113" s="19">
        <v>64</v>
      </c>
      <c r="C113" s="19">
        <v>68</v>
      </c>
      <c r="D113" s="19">
        <v>0.1</v>
      </c>
      <c r="E113" s="19">
        <v>1</v>
      </c>
      <c r="F113" s="19">
        <v>1</v>
      </c>
      <c r="G113" s="19">
        <v>2</v>
      </c>
      <c r="H113" s="46">
        <f t="shared" si="1"/>
        <v>0.5</v>
      </c>
      <c r="I113" s="12"/>
      <c r="J113" s="12"/>
      <c r="K113" s="12">
        <f>SUM(G107:G113)</f>
        <v>15</v>
      </c>
      <c r="L113" s="14">
        <f>SUM(E107:E113)</f>
        <v>10</v>
      </c>
    </row>
    <row r="114" spans="1:12">
      <c r="A114" s="3" t="s">
        <v>86</v>
      </c>
      <c r="B114" s="17">
        <v>65</v>
      </c>
      <c r="C114" s="17">
        <v>68</v>
      </c>
      <c r="D114" s="17">
        <v>0.1</v>
      </c>
      <c r="E114" s="17">
        <v>1</v>
      </c>
      <c r="F114" s="17">
        <v>0</v>
      </c>
      <c r="G114" s="17">
        <v>1</v>
      </c>
      <c r="H114" s="45">
        <f t="shared" si="1"/>
        <v>1</v>
      </c>
      <c r="I114" s="41">
        <f>8/49</f>
        <v>0.16326530612244897</v>
      </c>
      <c r="J114" s="41">
        <f>11/49</f>
        <v>0.22448979591836735</v>
      </c>
      <c r="K114" s="4">
        <v>64</v>
      </c>
      <c r="L114" s="6">
        <v>39</v>
      </c>
    </row>
    <row r="115" spans="1:12">
      <c r="A115" s="7" t="s">
        <v>12</v>
      </c>
      <c r="B115" s="15">
        <v>65</v>
      </c>
      <c r="C115" s="15">
        <v>68</v>
      </c>
      <c r="D115" s="15">
        <v>0.2</v>
      </c>
      <c r="E115" s="15">
        <v>7</v>
      </c>
      <c r="F115" s="15">
        <v>6</v>
      </c>
      <c r="G115" s="15">
        <v>13</v>
      </c>
      <c r="H115" s="44">
        <f t="shared" si="1"/>
        <v>7.6923076923076927E-2</v>
      </c>
      <c r="I115" s="8"/>
      <c r="J115" s="8"/>
      <c r="K115" s="8"/>
      <c r="L115" s="10"/>
    </row>
    <row r="116" spans="1:12">
      <c r="A116" s="7"/>
      <c r="B116" s="15">
        <v>65</v>
      </c>
      <c r="C116" s="15">
        <v>68</v>
      </c>
      <c r="D116" s="15">
        <v>0.2</v>
      </c>
      <c r="E116" s="15">
        <v>2</v>
      </c>
      <c r="F116" s="15">
        <v>2</v>
      </c>
      <c r="G116" s="15">
        <v>4</v>
      </c>
      <c r="H116" s="44">
        <f t="shared" si="1"/>
        <v>0.25</v>
      </c>
      <c r="I116" s="8"/>
      <c r="J116" s="8"/>
      <c r="K116" s="8"/>
      <c r="L116" s="10"/>
    </row>
    <row r="117" spans="1:12">
      <c r="A117" s="7"/>
      <c r="B117" s="15">
        <v>65</v>
      </c>
      <c r="C117" s="15">
        <v>68</v>
      </c>
      <c r="D117" s="15">
        <v>0.1</v>
      </c>
      <c r="E117" s="15">
        <v>5</v>
      </c>
      <c r="F117" s="15">
        <v>2</v>
      </c>
      <c r="G117" s="15">
        <v>7</v>
      </c>
      <c r="H117" s="44">
        <f t="shared" si="1"/>
        <v>0.14285714285714285</v>
      </c>
      <c r="I117" s="8"/>
      <c r="J117" s="8"/>
      <c r="K117" s="8"/>
      <c r="L117" s="10"/>
    </row>
    <row r="118" spans="1:12">
      <c r="A118" s="7"/>
      <c r="B118" s="15">
        <v>65</v>
      </c>
      <c r="C118" s="15">
        <v>68</v>
      </c>
      <c r="D118" s="15">
        <v>0.1</v>
      </c>
      <c r="E118" s="15">
        <v>7</v>
      </c>
      <c r="F118" s="15">
        <v>2</v>
      </c>
      <c r="G118" s="15">
        <v>9</v>
      </c>
      <c r="H118" s="44">
        <f t="shared" si="1"/>
        <v>0.1111111111111111</v>
      </c>
      <c r="I118" s="8"/>
      <c r="J118" s="8"/>
      <c r="K118" s="8"/>
      <c r="L118" s="10"/>
    </row>
    <row r="119" spans="1:12">
      <c r="A119" s="7"/>
      <c r="B119" s="15">
        <v>65</v>
      </c>
      <c r="C119" s="15">
        <v>68</v>
      </c>
      <c r="D119" s="15">
        <v>0.1</v>
      </c>
      <c r="E119" s="15">
        <v>1</v>
      </c>
      <c r="F119" s="15">
        <v>0</v>
      </c>
      <c r="G119" s="15">
        <v>1</v>
      </c>
      <c r="H119" s="44">
        <f t="shared" si="1"/>
        <v>1</v>
      </c>
      <c r="I119" s="8"/>
      <c r="J119" s="8"/>
      <c r="K119" s="8"/>
      <c r="L119" s="10"/>
    </row>
    <row r="120" spans="1:12">
      <c r="A120" s="7"/>
      <c r="B120" s="15">
        <v>65</v>
      </c>
      <c r="C120" s="15">
        <v>68</v>
      </c>
      <c r="D120" s="15">
        <v>0.1</v>
      </c>
      <c r="E120" s="15">
        <v>1</v>
      </c>
      <c r="F120" s="15">
        <v>2</v>
      </c>
      <c r="G120" s="15">
        <v>3</v>
      </c>
      <c r="H120" s="44">
        <f t="shared" si="1"/>
        <v>0.33333333333333331</v>
      </c>
      <c r="I120" s="8"/>
      <c r="J120" s="8"/>
      <c r="K120" s="8"/>
      <c r="L120" s="10"/>
    </row>
    <row r="121" spans="1:12">
      <c r="A121" s="11"/>
      <c r="B121" s="19">
        <v>65</v>
      </c>
      <c r="C121" s="19">
        <v>68</v>
      </c>
      <c r="D121" s="19">
        <v>0.2</v>
      </c>
      <c r="E121" s="19">
        <v>5</v>
      </c>
      <c r="F121" s="19">
        <v>6</v>
      </c>
      <c r="G121" s="19">
        <v>11</v>
      </c>
      <c r="H121" s="46">
        <f t="shared" si="1"/>
        <v>9.0909090909090912E-2</v>
      </c>
      <c r="I121" s="12"/>
      <c r="J121" s="12"/>
      <c r="K121" s="12">
        <f>SUM(G107:G121)</f>
        <v>64</v>
      </c>
      <c r="L121" s="14">
        <f>SUM(E107:E121)</f>
        <v>39</v>
      </c>
    </row>
    <row r="122" spans="1:12">
      <c r="A122" s="3" t="s">
        <v>86</v>
      </c>
      <c r="B122" s="17">
        <v>66</v>
      </c>
      <c r="C122" s="17">
        <v>68</v>
      </c>
      <c r="D122" s="17">
        <v>0.1</v>
      </c>
      <c r="E122" s="17">
        <v>30</v>
      </c>
      <c r="F122" s="17">
        <v>12</v>
      </c>
      <c r="G122" s="17">
        <v>42</v>
      </c>
      <c r="H122" s="45">
        <f t="shared" si="1"/>
        <v>2.3809523809523808E-2</v>
      </c>
      <c r="I122" s="41">
        <f>9/106</f>
        <v>8.4905660377358486E-2</v>
      </c>
      <c r="J122" s="41">
        <f>9/106</f>
        <v>8.4905660377358486E-2</v>
      </c>
      <c r="K122" s="4">
        <v>170</v>
      </c>
      <c r="L122" s="6">
        <v>116</v>
      </c>
    </row>
    <row r="123" spans="1:12">
      <c r="A123" s="7" t="s">
        <v>13</v>
      </c>
      <c r="B123" s="15">
        <v>66</v>
      </c>
      <c r="C123" s="15">
        <v>68</v>
      </c>
      <c r="D123" s="15">
        <v>0.1</v>
      </c>
      <c r="E123" s="15">
        <v>5</v>
      </c>
      <c r="F123" s="15">
        <v>4</v>
      </c>
      <c r="G123" s="15">
        <v>9</v>
      </c>
      <c r="H123" s="44">
        <f t="shared" si="1"/>
        <v>0.1111111111111111</v>
      </c>
      <c r="I123" s="8"/>
      <c r="J123" s="8"/>
      <c r="K123" s="8"/>
      <c r="L123" s="10"/>
    </row>
    <row r="124" spans="1:12">
      <c r="A124" s="7"/>
      <c r="B124" s="15">
        <v>66</v>
      </c>
      <c r="C124" s="15">
        <v>68</v>
      </c>
      <c r="D124" s="15">
        <v>0.1</v>
      </c>
      <c r="E124" s="15">
        <v>1</v>
      </c>
      <c r="F124" s="15">
        <v>1</v>
      </c>
      <c r="G124" s="15">
        <v>2</v>
      </c>
      <c r="H124" s="44">
        <f t="shared" si="1"/>
        <v>0.5</v>
      </c>
      <c r="I124" s="8"/>
      <c r="J124" s="8"/>
      <c r="K124" s="8"/>
      <c r="L124" s="10"/>
    </row>
    <row r="125" spans="1:12">
      <c r="A125" s="7"/>
      <c r="B125" s="15">
        <v>66</v>
      </c>
      <c r="C125" s="15">
        <v>68</v>
      </c>
      <c r="D125" s="15">
        <v>0.1</v>
      </c>
      <c r="E125" s="15">
        <v>2</v>
      </c>
      <c r="F125" s="15">
        <v>0</v>
      </c>
      <c r="G125" s="15">
        <v>2</v>
      </c>
      <c r="H125" s="44">
        <f t="shared" si="1"/>
        <v>0.5</v>
      </c>
      <c r="I125" s="8"/>
      <c r="J125" s="8"/>
      <c r="K125" s="8"/>
      <c r="L125" s="10"/>
    </row>
    <row r="126" spans="1:12">
      <c r="A126" s="7"/>
      <c r="B126" s="15">
        <v>66</v>
      </c>
      <c r="C126" s="15">
        <v>68</v>
      </c>
      <c r="D126" s="15">
        <v>0.1</v>
      </c>
      <c r="E126" s="15">
        <v>13</v>
      </c>
      <c r="F126" s="15">
        <v>3</v>
      </c>
      <c r="G126" s="15">
        <v>16</v>
      </c>
      <c r="H126" s="44">
        <f t="shared" si="1"/>
        <v>6.25E-2</v>
      </c>
      <c r="I126" s="8"/>
      <c r="J126" s="8"/>
      <c r="K126" s="8"/>
      <c r="L126" s="10"/>
    </row>
    <row r="127" spans="1:12">
      <c r="A127" s="7"/>
      <c r="B127" s="15">
        <v>66</v>
      </c>
      <c r="C127" s="15">
        <v>68</v>
      </c>
      <c r="D127" s="15">
        <v>0.1</v>
      </c>
      <c r="E127" s="15">
        <v>1</v>
      </c>
      <c r="F127" s="15">
        <v>3</v>
      </c>
      <c r="G127" s="15">
        <v>4</v>
      </c>
      <c r="H127" s="44">
        <f t="shared" si="1"/>
        <v>0.25</v>
      </c>
      <c r="I127" s="8"/>
      <c r="J127" s="8"/>
      <c r="K127" s="8"/>
      <c r="L127" s="10"/>
    </row>
    <row r="128" spans="1:12">
      <c r="A128" s="7"/>
      <c r="B128" s="15">
        <v>66</v>
      </c>
      <c r="C128" s="15">
        <v>68</v>
      </c>
      <c r="D128" s="15">
        <v>0.1</v>
      </c>
      <c r="E128" s="15">
        <v>7</v>
      </c>
      <c r="F128" s="15">
        <v>2</v>
      </c>
      <c r="G128" s="15">
        <v>9</v>
      </c>
      <c r="H128" s="44">
        <f t="shared" si="1"/>
        <v>0.1111111111111111</v>
      </c>
      <c r="I128" s="8"/>
      <c r="J128" s="8"/>
      <c r="K128" s="8"/>
      <c r="L128" s="10"/>
    </row>
    <row r="129" spans="1:12">
      <c r="A129" s="7"/>
      <c r="B129" s="15">
        <v>66</v>
      </c>
      <c r="C129" s="15">
        <v>68</v>
      </c>
      <c r="D129" s="15">
        <v>0.1</v>
      </c>
      <c r="E129" s="15">
        <v>9</v>
      </c>
      <c r="F129" s="15">
        <v>1</v>
      </c>
      <c r="G129" s="15">
        <v>10</v>
      </c>
      <c r="H129" s="44">
        <f t="shared" si="1"/>
        <v>0.1</v>
      </c>
      <c r="I129" s="8"/>
      <c r="J129" s="8"/>
      <c r="K129" s="8"/>
      <c r="L129" s="10"/>
    </row>
    <row r="130" spans="1:12">
      <c r="A130" s="11"/>
      <c r="B130" s="19">
        <v>66</v>
      </c>
      <c r="C130" s="19">
        <v>68</v>
      </c>
      <c r="D130" s="19">
        <v>0.1</v>
      </c>
      <c r="E130" s="19">
        <v>9</v>
      </c>
      <c r="F130" s="19">
        <v>3</v>
      </c>
      <c r="G130" s="19">
        <v>12</v>
      </c>
      <c r="H130" s="46">
        <f t="shared" ref="H130:H193" si="2">1/G130</f>
        <v>8.3333333333333329E-2</v>
      </c>
      <c r="I130" s="12"/>
      <c r="J130" s="12"/>
      <c r="K130" s="12">
        <f>SUM(G107:G130)</f>
        <v>170</v>
      </c>
      <c r="L130" s="14">
        <f>SUM(E107:E130)</f>
        <v>116</v>
      </c>
    </row>
    <row r="131" spans="1:12">
      <c r="A131" s="3" t="s">
        <v>86</v>
      </c>
      <c r="B131" s="17">
        <v>67</v>
      </c>
      <c r="C131" s="17">
        <v>68</v>
      </c>
      <c r="D131" s="17">
        <v>0.1</v>
      </c>
      <c r="E131" s="17">
        <v>9</v>
      </c>
      <c r="F131" s="17">
        <v>0</v>
      </c>
      <c r="G131" s="17">
        <v>9</v>
      </c>
      <c r="H131" s="45">
        <f t="shared" si="2"/>
        <v>0.1111111111111111</v>
      </c>
      <c r="I131" s="41">
        <f>8/108</f>
        <v>7.407407407407407E-2</v>
      </c>
      <c r="J131" s="41">
        <f>10/108</f>
        <v>9.2592592592592587E-2</v>
      </c>
      <c r="K131" s="4">
        <v>278</v>
      </c>
      <c r="L131" s="6">
        <v>204</v>
      </c>
    </row>
    <row r="132" spans="1:12">
      <c r="A132" s="7" t="s">
        <v>14</v>
      </c>
      <c r="B132" s="15">
        <v>67</v>
      </c>
      <c r="C132" s="15">
        <v>68</v>
      </c>
      <c r="D132" s="15">
        <v>0.1</v>
      </c>
      <c r="E132" s="15">
        <v>11</v>
      </c>
      <c r="F132" s="15">
        <v>2</v>
      </c>
      <c r="G132" s="15">
        <v>13</v>
      </c>
      <c r="H132" s="44">
        <f t="shared" si="2"/>
        <v>7.6923076923076927E-2</v>
      </c>
      <c r="I132" s="8"/>
      <c r="J132" s="8"/>
      <c r="K132" s="8"/>
      <c r="L132" s="10"/>
    </row>
    <row r="133" spans="1:12">
      <c r="A133" s="7"/>
      <c r="B133" s="15">
        <v>67</v>
      </c>
      <c r="C133" s="15">
        <v>68</v>
      </c>
      <c r="D133" s="15">
        <v>0.1</v>
      </c>
      <c r="E133" s="15">
        <v>6</v>
      </c>
      <c r="F133" s="15">
        <v>0</v>
      </c>
      <c r="G133" s="15">
        <v>6</v>
      </c>
      <c r="H133" s="44">
        <f t="shared" si="2"/>
        <v>0.16666666666666666</v>
      </c>
      <c r="I133" s="8"/>
      <c r="J133" s="8"/>
      <c r="K133" s="8"/>
      <c r="L133" s="10"/>
    </row>
    <row r="134" spans="1:12">
      <c r="A134" s="7"/>
      <c r="B134" s="15">
        <v>67</v>
      </c>
      <c r="C134" s="15">
        <v>68</v>
      </c>
      <c r="D134" s="15">
        <v>0.1</v>
      </c>
      <c r="E134" s="15">
        <v>0</v>
      </c>
      <c r="F134" s="15">
        <v>1</v>
      </c>
      <c r="G134" s="15">
        <v>1</v>
      </c>
      <c r="H134" s="44">
        <f t="shared" si="2"/>
        <v>1</v>
      </c>
      <c r="I134" s="8"/>
      <c r="J134" s="8"/>
      <c r="K134" s="8"/>
      <c r="L134" s="10"/>
    </row>
    <row r="135" spans="1:12">
      <c r="A135" s="7"/>
      <c r="B135" s="15">
        <v>67</v>
      </c>
      <c r="C135" s="15">
        <v>68</v>
      </c>
      <c r="D135" s="15">
        <v>0.2</v>
      </c>
      <c r="E135" s="15">
        <v>20</v>
      </c>
      <c r="F135" s="15">
        <v>4</v>
      </c>
      <c r="G135" s="15">
        <v>24</v>
      </c>
      <c r="H135" s="44">
        <f t="shared" si="2"/>
        <v>4.1666666666666664E-2</v>
      </c>
      <c r="I135" s="8"/>
      <c r="J135" s="8"/>
      <c r="K135" s="8"/>
      <c r="L135" s="10"/>
    </row>
    <row r="136" spans="1:12">
      <c r="A136" s="7"/>
      <c r="B136" s="15">
        <v>67</v>
      </c>
      <c r="C136" s="15">
        <v>68</v>
      </c>
      <c r="D136" s="15">
        <v>0.2</v>
      </c>
      <c r="E136" s="15">
        <v>3</v>
      </c>
      <c r="F136" s="15">
        <v>2</v>
      </c>
      <c r="G136" s="15">
        <v>5</v>
      </c>
      <c r="H136" s="44">
        <f t="shared" si="2"/>
        <v>0.2</v>
      </c>
      <c r="I136" s="8"/>
      <c r="J136" s="8"/>
      <c r="K136" s="8"/>
      <c r="L136" s="10"/>
    </row>
    <row r="137" spans="1:12">
      <c r="A137" s="7"/>
      <c r="B137" s="15">
        <v>67</v>
      </c>
      <c r="C137" s="15">
        <v>68</v>
      </c>
      <c r="D137" s="15">
        <v>0.1</v>
      </c>
      <c r="E137" s="15">
        <v>5</v>
      </c>
      <c r="F137" s="15">
        <v>1</v>
      </c>
      <c r="G137" s="15">
        <v>6</v>
      </c>
      <c r="H137" s="44">
        <f t="shared" si="2"/>
        <v>0.16666666666666666</v>
      </c>
      <c r="I137" s="8"/>
      <c r="J137" s="8"/>
      <c r="K137" s="8"/>
      <c r="L137" s="10"/>
    </row>
    <row r="138" spans="1:12">
      <c r="A138" s="11"/>
      <c r="B138" s="19">
        <v>67</v>
      </c>
      <c r="C138" s="19">
        <v>68</v>
      </c>
      <c r="D138" s="19">
        <v>0.1</v>
      </c>
      <c r="E138" s="19">
        <v>34</v>
      </c>
      <c r="F138" s="19">
        <v>10</v>
      </c>
      <c r="G138" s="19">
        <v>44</v>
      </c>
      <c r="H138" s="46">
        <f t="shared" si="2"/>
        <v>2.2727272727272728E-2</v>
      </c>
      <c r="I138" s="12"/>
      <c r="J138" s="12"/>
      <c r="K138" s="12">
        <f>SUM(G107:G138)</f>
        <v>278</v>
      </c>
      <c r="L138" s="14">
        <f>SUM(E107:E138)</f>
        <v>204</v>
      </c>
    </row>
    <row r="139" spans="1:12">
      <c r="A139" s="3" t="s">
        <v>87</v>
      </c>
      <c r="B139" s="17">
        <v>68</v>
      </c>
      <c r="C139" s="17">
        <v>72</v>
      </c>
      <c r="D139" s="17">
        <v>0.3</v>
      </c>
      <c r="E139" s="17">
        <v>3</v>
      </c>
      <c r="F139" s="17">
        <v>6</v>
      </c>
      <c r="G139" s="17">
        <v>9</v>
      </c>
      <c r="H139" s="45">
        <f t="shared" si="2"/>
        <v>0.1111111111111111</v>
      </c>
      <c r="I139" s="41">
        <f>6/21</f>
        <v>0.2857142857142857</v>
      </c>
      <c r="J139" s="41">
        <f>10/21</f>
        <v>0.47619047619047616</v>
      </c>
      <c r="K139" s="4">
        <v>21</v>
      </c>
      <c r="L139" s="6">
        <v>10</v>
      </c>
    </row>
    <row r="140" spans="1:12">
      <c r="A140" s="7" t="s">
        <v>97</v>
      </c>
      <c r="B140" s="15">
        <v>68</v>
      </c>
      <c r="C140" s="15">
        <v>72</v>
      </c>
      <c r="D140" s="8">
        <v>0.1</v>
      </c>
      <c r="E140" s="15">
        <v>2</v>
      </c>
      <c r="F140" s="15">
        <v>0</v>
      </c>
      <c r="G140" s="15">
        <v>2</v>
      </c>
      <c r="H140" s="44">
        <f t="shared" si="2"/>
        <v>0.5</v>
      </c>
      <c r="I140" s="8"/>
      <c r="J140" s="8"/>
      <c r="K140" s="8"/>
      <c r="L140" s="10"/>
    </row>
    <row r="141" spans="1:12">
      <c r="A141" s="7"/>
      <c r="B141" s="15">
        <v>68</v>
      </c>
      <c r="C141" s="15">
        <v>72</v>
      </c>
      <c r="D141" s="8">
        <v>0.2</v>
      </c>
      <c r="E141" s="15">
        <v>0</v>
      </c>
      <c r="F141" s="15">
        <v>2</v>
      </c>
      <c r="G141" s="15">
        <v>2</v>
      </c>
      <c r="H141" s="44">
        <f t="shared" si="2"/>
        <v>0.5</v>
      </c>
      <c r="I141" s="8"/>
      <c r="J141" s="8"/>
      <c r="K141" s="8"/>
      <c r="L141" s="10"/>
    </row>
    <row r="142" spans="1:12">
      <c r="A142" s="7"/>
      <c r="B142" s="15">
        <v>68</v>
      </c>
      <c r="C142" s="15">
        <v>72</v>
      </c>
      <c r="D142" s="8">
        <v>0.1</v>
      </c>
      <c r="E142" s="15">
        <v>2</v>
      </c>
      <c r="F142" s="15">
        <v>0</v>
      </c>
      <c r="G142" s="15">
        <v>2</v>
      </c>
      <c r="H142" s="44">
        <f t="shared" si="2"/>
        <v>0.5</v>
      </c>
      <c r="I142" s="8"/>
      <c r="J142" s="8"/>
      <c r="K142" s="8"/>
      <c r="L142" s="10"/>
    </row>
    <row r="143" spans="1:12">
      <c r="A143" s="7"/>
      <c r="B143" s="15">
        <v>68</v>
      </c>
      <c r="C143" s="15">
        <v>72</v>
      </c>
      <c r="D143" s="8">
        <v>0.2</v>
      </c>
      <c r="E143" s="15">
        <v>3</v>
      </c>
      <c r="F143" s="15">
        <v>1</v>
      </c>
      <c r="G143" s="15">
        <v>4</v>
      </c>
      <c r="H143" s="44">
        <f t="shared" si="2"/>
        <v>0.25</v>
      </c>
      <c r="I143" s="8"/>
      <c r="J143" s="8"/>
      <c r="K143" s="8"/>
      <c r="L143" s="10"/>
    </row>
    <row r="144" spans="1:12">
      <c r="A144" s="11"/>
      <c r="B144" s="19">
        <v>68</v>
      </c>
      <c r="C144" s="19">
        <v>72</v>
      </c>
      <c r="D144" s="12">
        <v>0.1</v>
      </c>
      <c r="E144" s="19">
        <v>0</v>
      </c>
      <c r="F144" s="19">
        <v>2</v>
      </c>
      <c r="G144" s="19">
        <v>2</v>
      </c>
      <c r="H144" s="46">
        <f t="shared" si="2"/>
        <v>0.5</v>
      </c>
      <c r="I144" s="12"/>
      <c r="J144" s="12"/>
      <c r="K144" s="12">
        <f>SUM(G139:G144)</f>
        <v>21</v>
      </c>
      <c r="L144" s="14">
        <f>SUM(E139:E144)</f>
        <v>10</v>
      </c>
    </row>
    <row r="145" spans="1:12">
      <c r="A145" s="3" t="s">
        <v>87</v>
      </c>
      <c r="B145" s="17">
        <v>69</v>
      </c>
      <c r="C145" s="17">
        <v>72</v>
      </c>
      <c r="D145" s="17">
        <v>0.1</v>
      </c>
      <c r="E145" s="17">
        <v>1</v>
      </c>
      <c r="F145" s="17">
        <v>0</v>
      </c>
      <c r="G145" s="17">
        <v>1</v>
      </c>
      <c r="H145" s="45">
        <f t="shared" si="2"/>
        <v>1</v>
      </c>
      <c r="I145" s="41">
        <f>9/54</f>
        <v>0.16666666666666666</v>
      </c>
      <c r="J145" s="41">
        <f>12/54</f>
        <v>0.22222222222222221</v>
      </c>
      <c r="K145" s="4">
        <v>75</v>
      </c>
      <c r="L145" s="6">
        <v>47</v>
      </c>
    </row>
    <row r="146" spans="1:12">
      <c r="A146" s="7" t="s">
        <v>12</v>
      </c>
      <c r="B146" s="15">
        <v>69</v>
      </c>
      <c r="C146" s="15">
        <v>72</v>
      </c>
      <c r="D146" s="15">
        <v>0.1</v>
      </c>
      <c r="E146" s="15">
        <v>1</v>
      </c>
      <c r="F146" s="15">
        <v>1</v>
      </c>
      <c r="G146" s="15">
        <v>2</v>
      </c>
      <c r="H146" s="44">
        <f t="shared" si="2"/>
        <v>0.5</v>
      </c>
      <c r="I146" s="8"/>
      <c r="J146" s="8"/>
      <c r="K146" s="8"/>
      <c r="L146" s="10"/>
    </row>
    <row r="147" spans="1:12">
      <c r="A147" s="7"/>
      <c r="B147" s="15">
        <v>69</v>
      </c>
      <c r="C147" s="15">
        <v>72</v>
      </c>
      <c r="D147" s="15">
        <v>0.1</v>
      </c>
      <c r="E147" s="15">
        <v>1</v>
      </c>
      <c r="F147" s="15">
        <v>0</v>
      </c>
      <c r="G147" s="15">
        <v>1</v>
      </c>
      <c r="H147" s="44">
        <f t="shared" si="2"/>
        <v>1</v>
      </c>
      <c r="I147" s="8"/>
      <c r="J147" s="8"/>
      <c r="K147" s="8"/>
      <c r="L147" s="10"/>
    </row>
    <row r="148" spans="1:12">
      <c r="A148" s="7"/>
      <c r="B148" s="15">
        <v>69</v>
      </c>
      <c r="C148" s="15">
        <v>72</v>
      </c>
      <c r="D148" s="15">
        <v>0.1</v>
      </c>
      <c r="E148" s="15">
        <v>7</v>
      </c>
      <c r="F148" s="15">
        <v>5</v>
      </c>
      <c r="G148" s="15">
        <v>12</v>
      </c>
      <c r="H148" s="44">
        <f t="shared" si="2"/>
        <v>8.3333333333333329E-2</v>
      </c>
      <c r="I148" s="8"/>
      <c r="J148" s="8"/>
      <c r="K148" s="8"/>
      <c r="L148" s="10"/>
    </row>
    <row r="149" spans="1:12">
      <c r="A149" s="7"/>
      <c r="B149" s="15">
        <v>69</v>
      </c>
      <c r="C149" s="15">
        <v>72</v>
      </c>
      <c r="D149" s="15">
        <v>0.1</v>
      </c>
      <c r="E149" s="15">
        <v>2</v>
      </c>
      <c r="F149" s="15">
        <v>0</v>
      </c>
      <c r="G149" s="15">
        <v>2</v>
      </c>
      <c r="H149" s="44">
        <f t="shared" si="2"/>
        <v>0.5</v>
      </c>
      <c r="I149" s="8"/>
      <c r="J149" s="8"/>
      <c r="K149" s="8"/>
      <c r="L149" s="10"/>
    </row>
    <row r="150" spans="1:12">
      <c r="A150" s="7"/>
      <c r="B150" s="15">
        <v>69</v>
      </c>
      <c r="C150" s="15">
        <v>72</v>
      </c>
      <c r="D150" s="15">
        <v>0.1</v>
      </c>
      <c r="E150" s="15">
        <v>12</v>
      </c>
      <c r="F150" s="15">
        <v>7</v>
      </c>
      <c r="G150" s="15">
        <v>19</v>
      </c>
      <c r="H150" s="44">
        <f t="shared" si="2"/>
        <v>5.2631578947368418E-2</v>
      </c>
      <c r="I150" s="8"/>
      <c r="J150" s="8"/>
      <c r="K150" s="8"/>
      <c r="L150" s="10"/>
    </row>
    <row r="151" spans="1:12">
      <c r="A151" s="7"/>
      <c r="B151" s="15">
        <v>69</v>
      </c>
      <c r="C151" s="15">
        <v>72</v>
      </c>
      <c r="D151" s="15">
        <v>0.2</v>
      </c>
      <c r="E151" s="15">
        <v>3</v>
      </c>
      <c r="F151" s="15">
        <v>2</v>
      </c>
      <c r="G151" s="15">
        <v>5</v>
      </c>
      <c r="H151" s="44">
        <f t="shared" si="2"/>
        <v>0.2</v>
      </c>
      <c r="I151" s="8"/>
      <c r="J151" s="8"/>
      <c r="K151" s="8"/>
      <c r="L151" s="10"/>
    </row>
    <row r="152" spans="1:12">
      <c r="A152" s="7"/>
      <c r="B152" s="15">
        <v>69</v>
      </c>
      <c r="C152" s="15">
        <v>72</v>
      </c>
      <c r="D152" s="15">
        <v>0.1</v>
      </c>
      <c r="E152" s="15">
        <v>0</v>
      </c>
      <c r="F152" s="15">
        <v>1</v>
      </c>
      <c r="G152" s="15">
        <v>1</v>
      </c>
      <c r="H152" s="44">
        <f t="shared" si="2"/>
        <v>1</v>
      </c>
      <c r="I152" s="8"/>
      <c r="J152" s="8"/>
      <c r="K152" s="8"/>
      <c r="L152" s="10"/>
    </row>
    <row r="153" spans="1:12">
      <c r="A153" s="11"/>
      <c r="B153" s="19">
        <v>69</v>
      </c>
      <c r="C153" s="19">
        <v>72</v>
      </c>
      <c r="D153" s="19">
        <v>0.3</v>
      </c>
      <c r="E153" s="19">
        <v>10</v>
      </c>
      <c r="F153" s="19">
        <v>1</v>
      </c>
      <c r="G153" s="19">
        <v>11</v>
      </c>
      <c r="H153" s="46">
        <f t="shared" si="2"/>
        <v>9.0909090909090912E-2</v>
      </c>
      <c r="I153" s="12"/>
      <c r="J153" s="12"/>
      <c r="K153" s="12">
        <f>SUM(G139:G153)</f>
        <v>75</v>
      </c>
      <c r="L153" s="14">
        <f>SUM(E139:E153)</f>
        <v>47</v>
      </c>
    </row>
    <row r="154" spans="1:12">
      <c r="A154" s="3" t="s">
        <v>87</v>
      </c>
      <c r="B154" s="17">
        <v>70</v>
      </c>
      <c r="C154" s="17">
        <v>72</v>
      </c>
      <c r="D154" s="17">
        <v>0.2</v>
      </c>
      <c r="E154" s="17">
        <v>5</v>
      </c>
      <c r="F154" s="17">
        <v>0</v>
      </c>
      <c r="G154" s="17">
        <v>5</v>
      </c>
      <c r="H154" s="45">
        <f t="shared" si="2"/>
        <v>0.2</v>
      </c>
      <c r="I154" s="41">
        <f>6/80</f>
        <v>7.4999999999999997E-2</v>
      </c>
      <c r="J154" s="41">
        <f>8/80</f>
        <v>0.1</v>
      </c>
      <c r="K154" s="4">
        <v>155</v>
      </c>
      <c r="L154" s="6">
        <v>110</v>
      </c>
    </row>
    <row r="155" spans="1:12">
      <c r="A155" s="7" t="s">
        <v>13</v>
      </c>
      <c r="B155" s="15">
        <v>70</v>
      </c>
      <c r="C155" s="15">
        <v>72</v>
      </c>
      <c r="D155" s="15">
        <v>0.2</v>
      </c>
      <c r="E155" s="15">
        <v>7</v>
      </c>
      <c r="F155" s="15">
        <v>1</v>
      </c>
      <c r="G155" s="15">
        <v>8</v>
      </c>
      <c r="H155" s="44">
        <f t="shared" si="2"/>
        <v>0.125</v>
      </c>
      <c r="I155" s="8"/>
      <c r="J155" s="8"/>
      <c r="K155" s="8"/>
      <c r="L155" s="10"/>
    </row>
    <row r="156" spans="1:12">
      <c r="A156" s="7"/>
      <c r="B156" s="15">
        <v>70</v>
      </c>
      <c r="C156" s="15">
        <v>72</v>
      </c>
      <c r="D156" s="15">
        <v>0.1</v>
      </c>
      <c r="E156" s="15">
        <v>4</v>
      </c>
      <c r="F156" s="15">
        <v>4</v>
      </c>
      <c r="G156" s="15">
        <v>8</v>
      </c>
      <c r="H156" s="44">
        <f t="shared" si="2"/>
        <v>0.125</v>
      </c>
      <c r="I156" s="8"/>
      <c r="J156" s="8"/>
      <c r="K156" s="8"/>
      <c r="L156" s="10"/>
    </row>
    <row r="157" spans="1:12">
      <c r="A157" s="7"/>
      <c r="B157" s="15">
        <v>70</v>
      </c>
      <c r="C157" s="15">
        <v>72</v>
      </c>
      <c r="D157" s="15">
        <v>0.1</v>
      </c>
      <c r="E157" s="15">
        <v>9</v>
      </c>
      <c r="F157" s="15">
        <v>4</v>
      </c>
      <c r="G157" s="15">
        <v>13</v>
      </c>
      <c r="H157" s="44">
        <f t="shared" si="2"/>
        <v>7.6923076923076927E-2</v>
      </c>
      <c r="I157" s="8"/>
      <c r="J157" s="8"/>
      <c r="K157" s="8"/>
      <c r="L157" s="10"/>
    </row>
    <row r="158" spans="1:12">
      <c r="A158" s="7"/>
      <c r="B158" s="15">
        <v>70</v>
      </c>
      <c r="C158" s="15">
        <v>72</v>
      </c>
      <c r="D158" s="15">
        <v>0.1</v>
      </c>
      <c r="E158" s="15">
        <v>26</v>
      </c>
      <c r="F158" s="15">
        <v>5</v>
      </c>
      <c r="G158" s="15">
        <v>31</v>
      </c>
      <c r="H158" s="44">
        <f t="shared" si="2"/>
        <v>3.2258064516129031E-2</v>
      </c>
      <c r="I158" s="8"/>
      <c r="J158" s="8"/>
      <c r="K158" s="8"/>
      <c r="L158" s="10"/>
    </row>
    <row r="159" spans="1:12">
      <c r="A159" s="11"/>
      <c r="B159" s="19">
        <v>70</v>
      </c>
      <c r="C159" s="19">
        <v>72</v>
      </c>
      <c r="D159" s="19">
        <v>0.1</v>
      </c>
      <c r="E159" s="19">
        <v>12</v>
      </c>
      <c r="F159" s="19">
        <v>3</v>
      </c>
      <c r="G159" s="19">
        <v>15</v>
      </c>
      <c r="H159" s="46">
        <f t="shared" si="2"/>
        <v>6.6666666666666666E-2</v>
      </c>
      <c r="I159" s="12"/>
      <c r="J159" s="12"/>
      <c r="K159" s="12">
        <f>SUM(G139:G159)</f>
        <v>155</v>
      </c>
      <c r="L159" s="14">
        <f>SUM(E139:E159)</f>
        <v>110</v>
      </c>
    </row>
    <row r="160" spans="1:12">
      <c r="A160" s="3" t="s">
        <v>87</v>
      </c>
      <c r="B160" s="17">
        <v>71</v>
      </c>
      <c r="C160" s="17">
        <v>72</v>
      </c>
      <c r="D160" s="17">
        <v>0.2</v>
      </c>
      <c r="E160" s="17">
        <v>30</v>
      </c>
      <c r="F160" s="17">
        <v>8</v>
      </c>
      <c r="G160" s="17">
        <v>38</v>
      </c>
      <c r="H160" s="45">
        <f t="shared" si="2"/>
        <v>2.6315789473684209E-2</v>
      </c>
      <c r="I160" s="41">
        <f>8/202</f>
        <v>3.9603960396039604E-2</v>
      </c>
      <c r="J160" s="41">
        <f>10/202</f>
        <v>4.9504950495049507E-2</v>
      </c>
      <c r="K160" s="4">
        <v>357</v>
      </c>
      <c r="L160" s="6">
        <v>279</v>
      </c>
    </row>
    <row r="161" spans="1:12">
      <c r="A161" s="7" t="s">
        <v>14</v>
      </c>
      <c r="B161" s="15">
        <v>71</v>
      </c>
      <c r="C161" s="15">
        <v>72</v>
      </c>
      <c r="D161" s="15">
        <v>0.1</v>
      </c>
      <c r="E161" s="15">
        <v>37</v>
      </c>
      <c r="F161" s="15">
        <v>4</v>
      </c>
      <c r="G161" s="15">
        <v>41</v>
      </c>
      <c r="H161" s="44">
        <f t="shared" si="2"/>
        <v>2.4390243902439025E-2</v>
      </c>
      <c r="I161" s="8"/>
      <c r="J161" s="8"/>
      <c r="K161" s="8"/>
      <c r="L161" s="10"/>
    </row>
    <row r="162" spans="1:12">
      <c r="A162" s="7"/>
      <c r="B162" s="15">
        <v>71</v>
      </c>
      <c r="C162" s="15">
        <v>72</v>
      </c>
      <c r="D162" s="15">
        <v>0.2</v>
      </c>
      <c r="E162" s="15">
        <v>20</v>
      </c>
      <c r="F162" s="15">
        <v>3</v>
      </c>
      <c r="G162" s="15">
        <v>23</v>
      </c>
      <c r="H162" s="44">
        <f t="shared" si="2"/>
        <v>4.3478260869565216E-2</v>
      </c>
      <c r="I162" s="8"/>
      <c r="J162" s="8"/>
      <c r="K162" s="8"/>
      <c r="L162" s="10"/>
    </row>
    <row r="163" spans="1:12">
      <c r="A163" s="7"/>
      <c r="B163" s="15">
        <v>71</v>
      </c>
      <c r="C163" s="15">
        <v>72</v>
      </c>
      <c r="D163" s="15">
        <v>0.1</v>
      </c>
      <c r="E163" s="15">
        <v>10</v>
      </c>
      <c r="F163" s="15">
        <v>5</v>
      </c>
      <c r="G163" s="15">
        <v>15</v>
      </c>
      <c r="H163" s="44">
        <f t="shared" si="2"/>
        <v>6.6666666666666666E-2</v>
      </c>
      <c r="I163" s="8"/>
      <c r="J163" s="8"/>
      <c r="K163" s="8"/>
      <c r="L163" s="10"/>
    </row>
    <row r="164" spans="1:12">
      <c r="A164" s="7"/>
      <c r="B164" s="15">
        <v>71</v>
      </c>
      <c r="C164" s="15">
        <v>72</v>
      </c>
      <c r="D164" s="15">
        <v>0.1</v>
      </c>
      <c r="E164" s="15">
        <v>8</v>
      </c>
      <c r="F164" s="15">
        <v>2</v>
      </c>
      <c r="G164" s="15">
        <v>10</v>
      </c>
      <c r="H164" s="44">
        <f t="shared" si="2"/>
        <v>0.1</v>
      </c>
      <c r="I164" s="8"/>
      <c r="J164" s="8"/>
      <c r="K164" s="8"/>
      <c r="L164" s="10"/>
    </row>
    <row r="165" spans="1:12">
      <c r="A165" s="7"/>
      <c r="B165" s="15">
        <v>71</v>
      </c>
      <c r="C165" s="15">
        <v>72</v>
      </c>
      <c r="D165" s="15">
        <v>0.1</v>
      </c>
      <c r="E165" s="15">
        <v>20</v>
      </c>
      <c r="F165" s="15">
        <v>5</v>
      </c>
      <c r="G165" s="15">
        <v>25</v>
      </c>
      <c r="H165" s="44">
        <f t="shared" si="2"/>
        <v>0.04</v>
      </c>
      <c r="I165" s="8"/>
      <c r="J165" s="8"/>
      <c r="K165" s="8"/>
      <c r="L165" s="10"/>
    </row>
    <row r="166" spans="1:12">
      <c r="A166" s="7"/>
      <c r="B166" s="15">
        <v>71</v>
      </c>
      <c r="C166" s="15">
        <v>72</v>
      </c>
      <c r="D166" s="15">
        <v>0.1</v>
      </c>
      <c r="E166" s="15">
        <v>33</v>
      </c>
      <c r="F166" s="15">
        <v>2</v>
      </c>
      <c r="G166" s="15">
        <v>35</v>
      </c>
      <c r="H166" s="44">
        <f t="shared" si="2"/>
        <v>2.8571428571428571E-2</v>
      </c>
      <c r="I166" s="8"/>
      <c r="J166" s="8"/>
      <c r="K166" s="8"/>
      <c r="L166" s="10"/>
    </row>
    <row r="167" spans="1:12">
      <c r="A167" s="11"/>
      <c r="B167" s="19">
        <v>71</v>
      </c>
      <c r="C167" s="19">
        <v>72</v>
      </c>
      <c r="D167" s="19">
        <v>0.1</v>
      </c>
      <c r="E167" s="19">
        <v>11</v>
      </c>
      <c r="F167" s="19">
        <v>4</v>
      </c>
      <c r="G167" s="19">
        <v>15</v>
      </c>
      <c r="H167" s="46">
        <f t="shared" si="2"/>
        <v>6.6666666666666666E-2</v>
      </c>
      <c r="I167" s="12"/>
      <c r="J167" s="12"/>
      <c r="K167" s="12">
        <f>SUM(G139:G167)</f>
        <v>357</v>
      </c>
      <c r="L167" s="14">
        <f>SUM(E139:E167)</f>
        <v>279</v>
      </c>
    </row>
    <row r="168" spans="1:12">
      <c r="A168" s="3" t="s">
        <v>103</v>
      </c>
      <c r="B168" s="17">
        <v>72</v>
      </c>
      <c r="C168" s="17">
        <v>76</v>
      </c>
      <c r="D168" s="17">
        <v>0.1</v>
      </c>
      <c r="E168" s="17">
        <v>4</v>
      </c>
      <c r="F168" s="17">
        <v>1</v>
      </c>
      <c r="G168" s="17">
        <v>5</v>
      </c>
      <c r="H168" s="45">
        <f t="shared" si="2"/>
        <v>0.2</v>
      </c>
      <c r="I168" s="41">
        <f>9/34</f>
        <v>0.26470588235294118</v>
      </c>
      <c r="J168" s="41">
        <f>10/34</f>
        <v>0.29411764705882354</v>
      </c>
      <c r="K168" s="4">
        <v>34</v>
      </c>
      <c r="L168" s="6">
        <v>22</v>
      </c>
    </row>
    <row r="169" spans="1:12">
      <c r="A169" s="7" t="s">
        <v>97</v>
      </c>
      <c r="B169" s="15">
        <v>72</v>
      </c>
      <c r="C169" s="15">
        <v>76</v>
      </c>
      <c r="D169" s="15">
        <v>0.1</v>
      </c>
      <c r="E169" s="15">
        <v>1</v>
      </c>
      <c r="F169" s="15">
        <v>0</v>
      </c>
      <c r="G169" s="15">
        <v>1</v>
      </c>
      <c r="H169" s="44">
        <f t="shared" si="2"/>
        <v>1</v>
      </c>
      <c r="I169" s="8"/>
      <c r="J169" s="8"/>
      <c r="K169" s="8"/>
      <c r="L169" s="10"/>
    </row>
    <row r="170" spans="1:12">
      <c r="A170" s="7"/>
      <c r="B170" s="15">
        <v>72</v>
      </c>
      <c r="C170" s="15">
        <v>76</v>
      </c>
      <c r="D170" s="15">
        <v>0.1</v>
      </c>
      <c r="E170" s="15">
        <v>6</v>
      </c>
      <c r="F170" s="15">
        <v>4</v>
      </c>
      <c r="G170" s="15">
        <v>10</v>
      </c>
      <c r="H170" s="44">
        <f t="shared" si="2"/>
        <v>0.1</v>
      </c>
      <c r="I170" s="8"/>
      <c r="J170" s="8"/>
      <c r="K170" s="8"/>
      <c r="L170" s="10"/>
    </row>
    <row r="171" spans="1:12">
      <c r="A171" s="7"/>
      <c r="B171" s="15">
        <v>72</v>
      </c>
      <c r="C171" s="15">
        <v>76</v>
      </c>
      <c r="D171" s="15">
        <v>0.2</v>
      </c>
      <c r="E171" s="15">
        <v>1</v>
      </c>
      <c r="F171" s="15">
        <v>1</v>
      </c>
      <c r="G171" s="15">
        <v>2</v>
      </c>
      <c r="H171" s="44">
        <f t="shared" si="2"/>
        <v>0.5</v>
      </c>
      <c r="I171" s="8"/>
      <c r="J171" s="8"/>
      <c r="K171" s="8"/>
      <c r="L171" s="10"/>
    </row>
    <row r="172" spans="1:12">
      <c r="A172" s="7"/>
      <c r="B172" s="15">
        <v>72</v>
      </c>
      <c r="C172" s="15">
        <v>76</v>
      </c>
      <c r="D172" s="15">
        <v>0.1</v>
      </c>
      <c r="E172" s="15">
        <v>1</v>
      </c>
      <c r="F172" s="15">
        <v>0</v>
      </c>
      <c r="G172" s="15">
        <v>1</v>
      </c>
      <c r="H172" s="44">
        <f t="shared" si="2"/>
        <v>1</v>
      </c>
      <c r="I172" s="8"/>
      <c r="J172" s="8"/>
      <c r="K172" s="8"/>
      <c r="L172" s="10"/>
    </row>
    <row r="173" spans="1:12">
      <c r="A173" s="7"/>
      <c r="B173" s="15">
        <v>72</v>
      </c>
      <c r="C173" s="15">
        <v>76</v>
      </c>
      <c r="D173" s="15">
        <v>0.1</v>
      </c>
      <c r="E173" s="15">
        <v>1</v>
      </c>
      <c r="F173" s="15">
        <v>0</v>
      </c>
      <c r="G173" s="15">
        <v>1</v>
      </c>
      <c r="H173" s="44">
        <f t="shared" si="2"/>
        <v>1</v>
      </c>
      <c r="I173" s="8"/>
      <c r="J173" s="8"/>
      <c r="K173" s="8"/>
      <c r="L173" s="10"/>
    </row>
    <row r="174" spans="1:12">
      <c r="A174" s="7"/>
      <c r="B174" s="15">
        <v>72</v>
      </c>
      <c r="C174" s="15">
        <v>76</v>
      </c>
      <c r="D174" s="15">
        <v>0.1</v>
      </c>
      <c r="E174" s="15">
        <v>3</v>
      </c>
      <c r="F174" s="15">
        <v>0</v>
      </c>
      <c r="G174" s="15">
        <v>3</v>
      </c>
      <c r="H174" s="44">
        <f t="shared" si="2"/>
        <v>0.33333333333333331</v>
      </c>
      <c r="I174" s="8"/>
      <c r="J174" s="8"/>
      <c r="K174" s="8"/>
      <c r="L174" s="10"/>
    </row>
    <row r="175" spans="1:12">
      <c r="A175" s="7"/>
      <c r="B175" s="15">
        <v>72</v>
      </c>
      <c r="C175" s="15">
        <v>76</v>
      </c>
      <c r="D175" s="15">
        <v>0.1</v>
      </c>
      <c r="E175" s="15">
        <v>2</v>
      </c>
      <c r="F175" s="15">
        <v>1</v>
      </c>
      <c r="G175" s="15">
        <v>3</v>
      </c>
      <c r="H175" s="44">
        <f t="shared" si="2"/>
        <v>0.33333333333333331</v>
      </c>
      <c r="I175" s="8"/>
      <c r="J175" s="8"/>
      <c r="K175" s="8"/>
      <c r="L175" s="10"/>
    </row>
    <row r="176" spans="1:12">
      <c r="A176" s="11"/>
      <c r="B176" s="19">
        <v>72</v>
      </c>
      <c r="C176" s="19">
        <v>76</v>
      </c>
      <c r="D176" s="19">
        <v>0.1</v>
      </c>
      <c r="E176" s="19">
        <v>3</v>
      </c>
      <c r="F176" s="19">
        <v>5</v>
      </c>
      <c r="G176" s="19">
        <v>8</v>
      </c>
      <c r="H176" s="46">
        <f t="shared" si="2"/>
        <v>0.125</v>
      </c>
      <c r="I176" s="12"/>
      <c r="J176" s="12"/>
      <c r="K176" s="12">
        <f>SUM(G168:G176)</f>
        <v>34</v>
      </c>
      <c r="L176" s="14">
        <f>SUM(E168:E176)</f>
        <v>22</v>
      </c>
    </row>
    <row r="177" spans="1:12">
      <c r="A177" s="3" t="s">
        <v>103</v>
      </c>
      <c r="B177" s="17">
        <v>73</v>
      </c>
      <c r="C177" s="17">
        <v>76</v>
      </c>
      <c r="D177" s="17">
        <v>0.1</v>
      </c>
      <c r="E177" s="17">
        <v>4</v>
      </c>
      <c r="F177" s="17">
        <v>1</v>
      </c>
      <c r="G177" s="17">
        <v>5</v>
      </c>
      <c r="H177" s="45">
        <f t="shared" si="2"/>
        <v>0.2</v>
      </c>
      <c r="I177" s="41">
        <f>9/92</f>
        <v>9.7826086956521743E-2</v>
      </c>
      <c r="J177" s="41">
        <f>10/92</f>
        <v>0.10869565217391304</v>
      </c>
      <c r="K177" s="4">
        <v>126</v>
      </c>
      <c r="L177" s="6">
        <v>83</v>
      </c>
    </row>
    <row r="178" spans="1:12">
      <c r="A178" s="7" t="s">
        <v>12</v>
      </c>
      <c r="B178" s="15">
        <v>73</v>
      </c>
      <c r="C178" s="15">
        <v>76</v>
      </c>
      <c r="D178" s="15">
        <v>0.1</v>
      </c>
      <c r="E178" s="15">
        <v>5</v>
      </c>
      <c r="F178" s="15">
        <v>3</v>
      </c>
      <c r="G178" s="15">
        <v>8</v>
      </c>
      <c r="H178" s="44">
        <f t="shared" si="2"/>
        <v>0.125</v>
      </c>
      <c r="I178" s="8"/>
      <c r="J178" s="8"/>
      <c r="K178" s="8"/>
      <c r="L178" s="10"/>
    </row>
    <row r="179" spans="1:12">
      <c r="A179" s="7"/>
      <c r="B179" s="15">
        <v>73</v>
      </c>
      <c r="C179" s="15">
        <v>76</v>
      </c>
      <c r="D179" s="15">
        <v>0.1</v>
      </c>
      <c r="E179" s="15">
        <v>11</v>
      </c>
      <c r="F179" s="15">
        <v>10</v>
      </c>
      <c r="G179" s="15">
        <v>21</v>
      </c>
      <c r="H179" s="44">
        <f t="shared" si="2"/>
        <v>4.7619047619047616E-2</v>
      </c>
      <c r="I179" s="8"/>
      <c r="J179" s="8"/>
      <c r="K179" s="8"/>
      <c r="L179" s="10"/>
    </row>
    <row r="180" spans="1:12">
      <c r="A180" s="7"/>
      <c r="B180" s="15">
        <v>73</v>
      </c>
      <c r="C180" s="15">
        <v>76</v>
      </c>
      <c r="D180" s="15">
        <v>0.2</v>
      </c>
      <c r="E180" s="15">
        <v>4</v>
      </c>
      <c r="F180" s="15">
        <v>0</v>
      </c>
      <c r="G180" s="15">
        <v>4</v>
      </c>
      <c r="H180" s="44">
        <f t="shared" si="2"/>
        <v>0.25</v>
      </c>
      <c r="I180" s="8"/>
      <c r="J180" s="8"/>
      <c r="K180" s="8"/>
      <c r="L180" s="10"/>
    </row>
    <row r="181" spans="1:12">
      <c r="A181" s="7"/>
      <c r="B181" s="15">
        <v>73</v>
      </c>
      <c r="C181" s="15">
        <v>76</v>
      </c>
      <c r="D181" s="15">
        <v>0.1</v>
      </c>
      <c r="E181" s="15">
        <v>2</v>
      </c>
      <c r="F181" s="15">
        <v>1</v>
      </c>
      <c r="G181" s="15">
        <v>3</v>
      </c>
      <c r="H181" s="44">
        <f t="shared" si="2"/>
        <v>0.33333333333333331</v>
      </c>
      <c r="I181" s="8"/>
      <c r="J181" s="8"/>
      <c r="K181" s="8"/>
      <c r="L181" s="10"/>
    </row>
    <row r="182" spans="1:12">
      <c r="A182" s="7"/>
      <c r="B182" s="15">
        <v>73</v>
      </c>
      <c r="C182" s="15">
        <v>76</v>
      </c>
      <c r="D182" s="15">
        <v>0.1</v>
      </c>
      <c r="E182" s="15">
        <v>3</v>
      </c>
      <c r="F182" s="15">
        <v>3</v>
      </c>
      <c r="G182" s="15">
        <v>6</v>
      </c>
      <c r="H182" s="44">
        <f t="shared" si="2"/>
        <v>0.16666666666666666</v>
      </c>
      <c r="I182" s="8"/>
      <c r="J182" s="8"/>
      <c r="K182" s="8"/>
      <c r="L182" s="10"/>
    </row>
    <row r="183" spans="1:12">
      <c r="A183" s="7"/>
      <c r="B183" s="15">
        <v>73</v>
      </c>
      <c r="C183" s="15">
        <v>76</v>
      </c>
      <c r="D183" s="15">
        <v>0.1</v>
      </c>
      <c r="E183" s="15">
        <v>24</v>
      </c>
      <c r="F183" s="15">
        <v>9</v>
      </c>
      <c r="G183" s="15">
        <v>33</v>
      </c>
      <c r="H183" s="44">
        <f t="shared" si="2"/>
        <v>3.0303030303030304E-2</v>
      </c>
      <c r="I183" s="8"/>
      <c r="J183" s="8"/>
      <c r="K183" s="8"/>
      <c r="L183" s="10"/>
    </row>
    <row r="184" spans="1:12">
      <c r="A184" s="7"/>
      <c r="B184" s="15">
        <v>73</v>
      </c>
      <c r="C184" s="15">
        <v>76</v>
      </c>
      <c r="D184" s="15">
        <v>0.1</v>
      </c>
      <c r="E184" s="15">
        <v>3</v>
      </c>
      <c r="F184" s="15">
        <v>4</v>
      </c>
      <c r="G184" s="15">
        <v>7</v>
      </c>
      <c r="H184" s="44">
        <f t="shared" si="2"/>
        <v>0.14285714285714285</v>
      </c>
      <c r="I184" s="8"/>
      <c r="J184" s="8"/>
      <c r="K184" s="8"/>
      <c r="L184" s="10"/>
    </row>
    <row r="185" spans="1:12">
      <c r="A185" s="11"/>
      <c r="B185" s="19">
        <v>73</v>
      </c>
      <c r="C185" s="19">
        <v>76</v>
      </c>
      <c r="D185" s="19">
        <v>0.1</v>
      </c>
      <c r="E185" s="19">
        <v>5</v>
      </c>
      <c r="F185" s="19">
        <v>0</v>
      </c>
      <c r="G185" s="19">
        <v>5</v>
      </c>
      <c r="H185" s="46">
        <f t="shared" si="2"/>
        <v>0.2</v>
      </c>
      <c r="I185" s="12"/>
      <c r="J185" s="12"/>
      <c r="K185" s="12">
        <f>SUM(G168:G185)</f>
        <v>126</v>
      </c>
      <c r="L185" s="14">
        <f>SUM(E168:E185)</f>
        <v>83</v>
      </c>
    </row>
    <row r="186" spans="1:12">
      <c r="A186" s="3" t="s">
        <v>103</v>
      </c>
      <c r="B186" s="17">
        <v>74</v>
      </c>
      <c r="C186" s="17">
        <v>76</v>
      </c>
      <c r="D186" s="17">
        <v>0.1</v>
      </c>
      <c r="E186" s="17">
        <v>20</v>
      </c>
      <c r="F186" s="17">
        <v>7</v>
      </c>
      <c r="G186" s="17">
        <v>27</v>
      </c>
      <c r="H186" s="45">
        <f t="shared" si="2"/>
        <v>3.7037037037037035E-2</v>
      </c>
      <c r="I186" s="41">
        <f>9/127</f>
        <v>7.0866141732283464E-2</v>
      </c>
      <c r="J186" s="41">
        <f>10/127</f>
        <v>7.874015748031496E-2</v>
      </c>
      <c r="K186" s="4">
        <v>253</v>
      </c>
      <c r="L186" s="6">
        <v>183</v>
      </c>
    </row>
    <row r="187" spans="1:12">
      <c r="A187" s="7" t="s">
        <v>13</v>
      </c>
      <c r="B187" s="15">
        <v>74</v>
      </c>
      <c r="C187" s="15">
        <v>76</v>
      </c>
      <c r="D187" s="15">
        <v>0.1</v>
      </c>
      <c r="E187" s="15">
        <v>4</v>
      </c>
      <c r="F187" s="15">
        <v>0</v>
      </c>
      <c r="G187" s="15">
        <v>4</v>
      </c>
      <c r="H187" s="44">
        <f t="shared" si="2"/>
        <v>0.25</v>
      </c>
      <c r="I187" s="8"/>
      <c r="J187" s="8"/>
      <c r="K187" s="8"/>
      <c r="L187" s="10"/>
    </row>
    <row r="188" spans="1:12">
      <c r="A188" s="7"/>
      <c r="B188" s="15">
        <v>74</v>
      </c>
      <c r="C188" s="15">
        <v>76</v>
      </c>
      <c r="D188" s="15">
        <v>0.1</v>
      </c>
      <c r="E188" s="15">
        <v>33</v>
      </c>
      <c r="F188" s="15">
        <v>12</v>
      </c>
      <c r="G188" s="15">
        <v>45</v>
      </c>
      <c r="H188" s="44">
        <f t="shared" si="2"/>
        <v>2.2222222222222223E-2</v>
      </c>
      <c r="I188" s="8"/>
      <c r="J188" s="8"/>
      <c r="K188" s="8"/>
      <c r="L188" s="10"/>
    </row>
    <row r="189" spans="1:12">
      <c r="A189" s="7"/>
      <c r="B189" s="15">
        <v>74</v>
      </c>
      <c r="C189" s="15">
        <v>76</v>
      </c>
      <c r="D189" s="15">
        <v>0.1</v>
      </c>
      <c r="E189" s="15">
        <v>1</v>
      </c>
      <c r="F189" s="15">
        <v>0</v>
      </c>
      <c r="G189" s="15">
        <v>1</v>
      </c>
      <c r="H189" s="44">
        <f t="shared" si="2"/>
        <v>1</v>
      </c>
      <c r="I189" s="8"/>
      <c r="J189" s="8"/>
      <c r="K189" s="8"/>
      <c r="L189" s="10"/>
    </row>
    <row r="190" spans="1:12">
      <c r="A190" s="7"/>
      <c r="B190" s="15">
        <v>74</v>
      </c>
      <c r="C190" s="15">
        <v>76</v>
      </c>
      <c r="D190" s="15">
        <v>0.1</v>
      </c>
      <c r="E190" s="15">
        <v>13</v>
      </c>
      <c r="F190" s="15">
        <v>5</v>
      </c>
      <c r="G190" s="15">
        <v>18</v>
      </c>
      <c r="H190" s="44">
        <f t="shared" si="2"/>
        <v>5.5555555555555552E-2</v>
      </c>
      <c r="I190" s="8"/>
      <c r="J190" s="8"/>
      <c r="K190" s="8"/>
      <c r="L190" s="10"/>
    </row>
    <row r="191" spans="1:12">
      <c r="A191" s="7"/>
      <c r="B191" s="15">
        <v>74</v>
      </c>
      <c r="C191" s="15">
        <v>76</v>
      </c>
      <c r="D191" s="15">
        <v>0.1</v>
      </c>
      <c r="E191" s="15">
        <v>17</v>
      </c>
      <c r="F191" s="15">
        <v>3</v>
      </c>
      <c r="G191" s="15">
        <v>20</v>
      </c>
      <c r="H191" s="44">
        <f t="shared" si="2"/>
        <v>0.05</v>
      </c>
      <c r="I191" s="8"/>
      <c r="J191" s="8"/>
      <c r="K191" s="8"/>
      <c r="L191" s="10"/>
    </row>
    <row r="192" spans="1:12">
      <c r="A192" s="7"/>
      <c r="B192" s="15">
        <v>74</v>
      </c>
      <c r="C192" s="15">
        <v>76</v>
      </c>
      <c r="D192" s="15">
        <v>0.1</v>
      </c>
      <c r="E192" s="15">
        <v>3</v>
      </c>
      <c r="F192" s="15">
        <v>0</v>
      </c>
      <c r="G192" s="15">
        <v>3</v>
      </c>
      <c r="H192" s="44">
        <f t="shared" si="2"/>
        <v>0.33333333333333331</v>
      </c>
      <c r="I192" s="8"/>
      <c r="J192" s="8"/>
      <c r="K192" s="8"/>
      <c r="L192" s="10"/>
    </row>
    <row r="193" spans="1:12">
      <c r="A193" s="7"/>
      <c r="B193" s="15">
        <v>74</v>
      </c>
      <c r="C193" s="15">
        <v>76</v>
      </c>
      <c r="D193" s="15">
        <v>0.2</v>
      </c>
      <c r="E193" s="15">
        <v>2</v>
      </c>
      <c r="F193" s="15">
        <v>0</v>
      </c>
      <c r="G193" s="15">
        <v>2</v>
      </c>
      <c r="H193" s="44">
        <f t="shared" si="2"/>
        <v>0.5</v>
      </c>
      <c r="I193" s="8"/>
      <c r="J193" s="8"/>
      <c r="K193" s="8"/>
      <c r="L193" s="10"/>
    </row>
    <row r="194" spans="1:12">
      <c r="A194" s="11"/>
      <c r="B194" s="19">
        <v>74</v>
      </c>
      <c r="C194" s="19">
        <v>76</v>
      </c>
      <c r="D194" s="19">
        <v>0.1</v>
      </c>
      <c r="E194" s="19">
        <v>7</v>
      </c>
      <c r="F194" s="19">
        <v>0</v>
      </c>
      <c r="G194" s="19">
        <v>7</v>
      </c>
      <c r="H194" s="46">
        <f t="shared" ref="H194:H257" si="3">1/G194</f>
        <v>0.14285714285714285</v>
      </c>
      <c r="I194" s="12"/>
      <c r="J194" s="12"/>
      <c r="K194" s="12">
        <f>SUM(G168:G194)</f>
        <v>253</v>
      </c>
      <c r="L194" s="14">
        <f>SUM(E168:E194)</f>
        <v>183</v>
      </c>
    </row>
    <row r="195" spans="1:12">
      <c r="A195" s="3" t="s">
        <v>103</v>
      </c>
      <c r="B195" s="17">
        <v>75</v>
      </c>
      <c r="C195" s="17">
        <v>76</v>
      </c>
      <c r="D195" s="17">
        <v>0.1</v>
      </c>
      <c r="E195" s="17">
        <v>10</v>
      </c>
      <c r="F195" s="17">
        <v>1</v>
      </c>
      <c r="G195" s="17">
        <v>11</v>
      </c>
      <c r="H195" s="45">
        <f t="shared" si="3"/>
        <v>9.0909090909090912E-2</v>
      </c>
      <c r="I195" s="41">
        <f>9/240</f>
        <v>3.7499999999999999E-2</v>
      </c>
      <c r="J195" s="41">
        <f>10/240</f>
        <v>4.1666666666666664E-2</v>
      </c>
      <c r="K195" s="4">
        <v>493</v>
      </c>
      <c r="L195" s="6">
        <v>386</v>
      </c>
    </row>
    <row r="196" spans="1:12">
      <c r="A196" s="7" t="s">
        <v>14</v>
      </c>
      <c r="B196" s="15">
        <v>75</v>
      </c>
      <c r="C196" s="15">
        <v>76</v>
      </c>
      <c r="D196" s="15">
        <v>0.1</v>
      </c>
      <c r="E196" s="15">
        <v>13</v>
      </c>
      <c r="F196" s="15">
        <v>1</v>
      </c>
      <c r="G196" s="15">
        <v>14</v>
      </c>
      <c r="H196" s="44">
        <f t="shared" si="3"/>
        <v>7.1428571428571425E-2</v>
      </c>
      <c r="I196" s="8"/>
      <c r="J196" s="8"/>
      <c r="K196" s="8"/>
      <c r="L196" s="10"/>
    </row>
    <row r="197" spans="1:12">
      <c r="A197" s="7"/>
      <c r="B197" s="15">
        <v>75</v>
      </c>
      <c r="C197" s="15">
        <v>76</v>
      </c>
      <c r="D197" s="15">
        <v>0.1</v>
      </c>
      <c r="E197" s="15">
        <v>10</v>
      </c>
      <c r="F197" s="15">
        <v>1</v>
      </c>
      <c r="G197" s="15">
        <v>11</v>
      </c>
      <c r="H197" s="44">
        <f t="shared" si="3"/>
        <v>9.0909090909090912E-2</v>
      </c>
      <c r="I197" s="8"/>
      <c r="J197" s="8"/>
      <c r="K197" s="8"/>
      <c r="L197" s="10"/>
    </row>
    <row r="198" spans="1:12">
      <c r="A198" s="7"/>
      <c r="B198" s="15">
        <v>75</v>
      </c>
      <c r="C198" s="15">
        <v>76</v>
      </c>
      <c r="D198" s="15">
        <v>0.1</v>
      </c>
      <c r="E198" s="15">
        <v>12</v>
      </c>
      <c r="F198" s="15">
        <v>0</v>
      </c>
      <c r="G198" s="15">
        <v>12</v>
      </c>
      <c r="H198" s="44">
        <f t="shared" si="3"/>
        <v>8.3333333333333329E-2</v>
      </c>
      <c r="I198" s="8"/>
      <c r="J198" s="8"/>
      <c r="K198" s="8"/>
      <c r="L198" s="10"/>
    </row>
    <row r="199" spans="1:12">
      <c r="A199" s="7"/>
      <c r="B199" s="15">
        <v>75</v>
      </c>
      <c r="C199" s="15">
        <v>76</v>
      </c>
      <c r="D199" s="15">
        <v>0.2</v>
      </c>
      <c r="E199" s="15">
        <v>3</v>
      </c>
      <c r="F199" s="15">
        <v>2</v>
      </c>
      <c r="G199" s="15">
        <v>5</v>
      </c>
      <c r="H199" s="44">
        <f t="shared" si="3"/>
        <v>0.2</v>
      </c>
      <c r="I199" s="8"/>
      <c r="J199" s="8"/>
      <c r="K199" s="8"/>
      <c r="L199" s="10"/>
    </row>
    <row r="200" spans="1:12">
      <c r="A200" s="7"/>
      <c r="B200" s="15">
        <v>75</v>
      </c>
      <c r="C200" s="15">
        <v>76</v>
      </c>
      <c r="D200" s="15">
        <v>0.1</v>
      </c>
      <c r="E200" s="15">
        <v>22</v>
      </c>
      <c r="F200" s="15">
        <v>5</v>
      </c>
      <c r="G200" s="15">
        <v>27</v>
      </c>
      <c r="H200" s="44">
        <f t="shared" si="3"/>
        <v>3.7037037037037035E-2</v>
      </c>
      <c r="I200" s="8"/>
      <c r="J200" s="8"/>
      <c r="K200" s="8"/>
      <c r="L200" s="10"/>
    </row>
    <row r="201" spans="1:12">
      <c r="A201" s="7"/>
      <c r="B201" s="15">
        <v>75</v>
      </c>
      <c r="C201" s="15">
        <v>76</v>
      </c>
      <c r="D201" s="15">
        <v>0.1</v>
      </c>
      <c r="E201" s="15">
        <v>31</v>
      </c>
      <c r="F201" s="15">
        <v>5</v>
      </c>
      <c r="G201" s="15">
        <v>36</v>
      </c>
      <c r="H201" s="44">
        <f t="shared" si="3"/>
        <v>2.7777777777777776E-2</v>
      </c>
      <c r="I201" s="8"/>
      <c r="J201" s="8"/>
      <c r="K201" s="8"/>
      <c r="L201" s="10"/>
    </row>
    <row r="202" spans="1:12">
      <c r="A202" s="7"/>
      <c r="B202" s="15">
        <v>75</v>
      </c>
      <c r="C202" s="15">
        <v>76</v>
      </c>
      <c r="D202" s="15">
        <v>0.1</v>
      </c>
      <c r="E202" s="15">
        <v>84</v>
      </c>
      <c r="F202" s="15">
        <v>17</v>
      </c>
      <c r="G202" s="15">
        <v>101</v>
      </c>
      <c r="H202" s="44">
        <f t="shared" si="3"/>
        <v>9.9009900990099011E-3</v>
      </c>
      <c r="I202" s="8"/>
      <c r="J202" s="8"/>
      <c r="K202" s="8"/>
      <c r="L202" s="10"/>
    </row>
    <row r="203" spans="1:12">
      <c r="A203" s="11"/>
      <c r="B203" s="19">
        <v>75</v>
      </c>
      <c r="C203" s="19">
        <v>76</v>
      </c>
      <c r="D203" s="19">
        <v>0.1</v>
      </c>
      <c r="E203" s="19">
        <v>18</v>
      </c>
      <c r="F203" s="19">
        <v>5</v>
      </c>
      <c r="G203" s="19">
        <v>23</v>
      </c>
      <c r="H203" s="46">
        <f t="shared" si="3"/>
        <v>4.3478260869565216E-2</v>
      </c>
      <c r="I203" s="12"/>
      <c r="J203" s="12"/>
      <c r="K203" s="12">
        <f>SUM(G168:G203)</f>
        <v>493</v>
      </c>
      <c r="L203" s="14">
        <f>SUM(E168:E203)</f>
        <v>386</v>
      </c>
    </row>
    <row r="204" spans="1:12">
      <c r="A204" s="3" t="s">
        <v>88</v>
      </c>
      <c r="B204" s="17">
        <v>76</v>
      </c>
      <c r="C204" s="17">
        <v>81</v>
      </c>
      <c r="D204" s="17">
        <v>0.2</v>
      </c>
      <c r="E204" s="17">
        <v>0</v>
      </c>
      <c r="F204" s="17">
        <v>2</v>
      </c>
      <c r="G204" s="17">
        <v>2</v>
      </c>
      <c r="H204" s="45">
        <f t="shared" si="3"/>
        <v>0.5</v>
      </c>
      <c r="I204" s="41">
        <f>5/14</f>
        <v>0.35714285714285715</v>
      </c>
      <c r="J204" s="41">
        <f>11/14</f>
        <v>0.7857142857142857</v>
      </c>
      <c r="K204" s="4">
        <v>14</v>
      </c>
      <c r="L204" s="6">
        <v>6</v>
      </c>
    </row>
    <row r="205" spans="1:12">
      <c r="A205" s="7" t="s">
        <v>33</v>
      </c>
      <c r="B205" s="15">
        <v>76</v>
      </c>
      <c r="C205" s="15">
        <v>81</v>
      </c>
      <c r="D205" s="15">
        <v>0.1</v>
      </c>
      <c r="E205" s="15">
        <v>2</v>
      </c>
      <c r="F205" s="15">
        <v>2</v>
      </c>
      <c r="G205" s="15">
        <v>4</v>
      </c>
      <c r="H205" s="44">
        <f t="shared" si="3"/>
        <v>0.25</v>
      </c>
      <c r="I205" s="8"/>
      <c r="J205" s="8"/>
      <c r="K205" s="8"/>
      <c r="L205" s="10"/>
    </row>
    <row r="206" spans="1:12">
      <c r="A206" s="7"/>
      <c r="B206" s="15">
        <v>76</v>
      </c>
      <c r="C206" s="15">
        <v>81</v>
      </c>
      <c r="D206" s="15">
        <v>0.4</v>
      </c>
      <c r="E206" s="15">
        <v>1</v>
      </c>
      <c r="F206" s="15">
        <v>0</v>
      </c>
      <c r="G206" s="15">
        <v>1</v>
      </c>
      <c r="H206" s="44">
        <f t="shared" si="3"/>
        <v>1</v>
      </c>
      <c r="I206" s="8"/>
      <c r="J206" s="8"/>
      <c r="K206" s="8"/>
      <c r="L206" s="10"/>
    </row>
    <row r="207" spans="1:12">
      <c r="A207" s="7"/>
      <c r="B207" s="15">
        <v>76</v>
      </c>
      <c r="C207" s="15">
        <v>81</v>
      </c>
      <c r="D207" s="15">
        <v>0.2</v>
      </c>
      <c r="E207" s="15">
        <v>2</v>
      </c>
      <c r="F207" s="15">
        <v>4</v>
      </c>
      <c r="G207" s="15">
        <v>6</v>
      </c>
      <c r="H207" s="44">
        <f t="shared" si="3"/>
        <v>0.16666666666666666</v>
      </c>
      <c r="I207" s="8"/>
      <c r="J207" s="8"/>
      <c r="K207" s="8"/>
      <c r="L207" s="10"/>
    </row>
    <row r="208" spans="1:12">
      <c r="A208" s="11"/>
      <c r="B208" s="19">
        <v>76</v>
      </c>
      <c r="C208" s="19">
        <v>81</v>
      </c>
      <c r="D208" s="19">
        <v>0.2</v>
      </c>
      <c r="E208" s="19">
        <v>1</v>
      </c>
      <c r="F208" s="19">
        <v>0</v>
      </c>
      <c r="G208" s="19">
        <v>1</v>
      </c>
      <c r="H208" s="46">
        <f t="shared" si="3"/>
        <v>1</v>
      </c>
      <c r="I208" s="12"/>
      <c r="J208" s="12"/>
      <c r="K208" s="12">
        <f>SUM(G204:G208)</f>
        <v>14</v>
      </c>
      <c r="L208" s="14">
        <f>SUM(E204:E208)</f>
        <v>6</v>
      </c>
    </row>
    <row r="209" spans="1:12">
      <c r="A209" s="3" t="s">
        <v>88</v>
      </c>
      <c r="B209" s="17">
        <v>77</v>
      </c>
      <c r="C209" s="17">
        <v>81</v>
      </c>
      <c r="D209" s="17">
        <v>0.1</v>
      </c>
      <c r="E209" s="17">
        <v>1</v>
      </c>
      <c r="F209" s="17">
        <v>2</v>
      </c>
      <c r="G209" s="17">
        <v>3</v>
      </c>
      <c r="H209" s="45">
        <f t="shared" si="3"/>
        <v>0.33333333333333331</v>
      </c>
      <c r="I209" s="41">
        <f>8/46</f>
        <v>0.17391304347826086</v>
      </c>
      <c r="J209" s="41">
        <f>9/46</f>
        <v>0.19565217391304349</v>
      </c>
      <c r="K209" s="4">
        <v>60</v>
      </c>
      <c r="L209" s="6">
        <v>32</v>
      </c>
    </row>
    <row r="210" spans="1:12">
      <c r="A210" s="7" t="s">
        <v>97</v>
      </c>
      <c r="B210" s="15">
        <v>77</v>
      </c>
      <c r="C210" s="15">
        <v>81</v>
      </c>
      <c r="D210" s="15">
        <v>0.1</v>
      </c>
      <c r="E210" s="15">
        <v>0</v>
      </c>
      <c r="F210" s="15">
        <v>1</v>
      </c>
      <c r="G210" s="15">
        <v>1</v>
      </c>
      <c r="H210" s="44">
        <f t="shared" si="3"/>
        <v>1</v>
      </c>
      <c r="I210" s="8"/>
      <c r="J210" s="8"/>
      <c r="K210" s="8"/>
      <c r="L210" s="10"/>
    </row>
    <row r="211" spans="1:12">
      <c r="A211" s="7"/>
      <c r="B211" s="15">
        <v>77</v>
      </c>
      <c r="C211" s="15">
        <v>81</v>
      </c>
      <c r="D211" s="15">
        <v>0.1</v>
      </c>
      <c r="E211" s="15">
        <v>6</v>
      </c>
      <c r="F211" s="15">
        <v>3</v>
      </c>
      <c r="G211" s="15">
        <v>9</v>
      </c>
      <c r="H211" s="44">
        <f t="shared" si="3"/>
        <v>0.1111111111111111</v>
      </c>
      <c r="I211" s="8"/>
      <c r="J211" s="8"/>
      <c r="K211" s="8"/>
      <c r="L211" s="10"/>
    </row>
    <row r="212" spans="1:12">
      <c r="A212" s="7"/>
      <c r="B212" s="15">
        <v>77</v>
      </c>
      <c r="C212" s="15">
        <v>81</v>
      </c>
      <c r="D212" s="15">
        <v>0.1</v>
      </c>
      <c r="E212" s="15">
        <v>3</v>
      </c>
      <c r="F212" s="15">
        <v>2</v>
      </c>
      <c r="G212" s="15">
        <v>5</v>
      </c>
      <c r="H212" s="44">
        <f t="shared" si="3"/>
        <v>0.2</v>
      </c>
      <c r="I212" s="8"/>
      <c r="J212" s="8"/>
      <c r="K212" s="8"/>
      <c r="L212" s="10"/>
    </row>
    <row r="213" spans="1:12">
      <c r="A213" s="7"/>
      <c r="B213" s="15">
        <v>77</v>
      </c>
      <c r="C213" s="15">
        <v>81</v>
      </c>
      <c r="D213" s="15">
        <v>0.1</v>
      </c>
      <c r="E213" s="15">
        <v>12</v>
      </c>
      <c r="F213" s="15">
        <v>9</v>
      </c>
      <c r="G213" s="15">
        <v>21</v>
      </c>
      <c r="H213" s="44">
        <f t="shared" si="3"/>
        <v>4.7619047619047616E-2</v>
      </c>
      <c r="I213" s="8"/>
      <c r="J213" s="8"/>
      <c r="K213" s="8"/>
      <c r="L213" s="10"/>
    </row>
    <row r="214" spans="1:12">
      <c r="A214" s="7"/>
      <c r="B214" s="15">
        <v>77</v>
      </c>
      <c r="C214" s="15">
        <v>81</v>
      </c>
      <c r="D214" s="15">
        <v>0.1</v>
      </c>
      <c r="E214" s="15">
        <v>0</v>
      </c>
      <c r="F214" s="15">
        <v>1</v>
      </c>
      <c r="G214" s="15">
        <v>1</v>
      </c>
      <c r="H214" s="44">
        <f t="shared" si="3"/>
        <v>1</v>
      </c>
      <c r="I214" s="8"/>
      <c r="J214" s="8"/>
      <c r="K214" s="8"/>
      <c r="L214" s="10"/>
    </row>
    <row r="215" spans="1:12">
      <c r="A215" s="7"/>
      <c r="B215" s="15">
        <v>77</v>
      </c>
      <c r="C215" s="15">
        <v>81</v>
      </c>
      <c r="D215" s="15">
        <v>0.1</v>
      </c>
      <c r="E215" s="15">
        <v>3</v>
      </c>
      <c r="F215" s="15">
        <v>1</v>
      </c>
      <c r="G215" s="15">
        <v>4</v>
      </c>
      <c r="H215" s="44">
        <f t="shared" si="3"/>
        <v>0.25</v>
      </c>
      <c r="I215" s="8"/>
      <c r="J215" s="8"/>
      <c r="K215" s="8"/>
      <c r="L215" s="10"/>
    </row>
    <row r="216" spans="1:12">
      <c r="A216" s="11"/>
      <c r="B216" s="19">
        <v>77</v>
      </c>
      <c r="C216" s="19">
        <v>81</v>
      </c>
      <c r="D216" s="19">
        <v>0.2</v>
      </c>
      <c r="E216" s="19">
        <v>1</v>
      </c>
      <c r="F216" s="19">
        <v>1</v>
      </c>
      <c r="G216" s="19">
        <v>2</v>
      </c>
      <c r="H216" s="46">
        <f t="shared" si="3"/>
        <v>0.5</v>
      </c>
      <c r="I216" s="12"/>
      <c r="J216" s="12"/>
      <c r="K216" s="12">
        <f>SUM(G204:G216)</f>
        <v>60</v>
      </c>
      <c r="L216" s="14">
        <f>SUM(E204:E216)</f>
        <v>32</v>
      </c>
    </row>
    <row r="217" spans="1:12">
      <c r="A217" s="3" t="s">
        <v>88</v>
      </c>
      <c r="B217" s="17">
        <v>78</v>
      </c>
      <c r="C217" s="17">
        <v>81</v>
      </c>
      <c r="D217" s="17">
        <v>0.1</v>
      </c>
      <c r="E217" s="17">
        <v>20</v>
      </c>
      <c r="F217" s="17">
        <v>7</v>
      </c>
      <c r="G217" s="17">
        <v>27</v>
      </c>
      <c r="H217" s="45">
        <f t="shared" si="3"/>
        <v>3.7037037037037035E-2</v>
      </c>
      <c r="I217" s="41">
        <f>5/45</f>
        <v>0.1111111111111111</v>
      </c>
      <c r="J217" s="41">
        <f>10/45</f>
        <v>0.22222222222222221</v>
      </c>
      <c r="K217" s="4">
        <v>105</v>
      </c>
      <c r="L217" s="6">
        <v>62</v>
      </c>
    </row>
    <row r="218" spans="1:12">
      <c r="A218" s="7" t="s">
        <v>12</v>
      </c>
      <c r="B218" s="15">
        <v>78</v>
      </c>
      <c r="C218" s="15">
        <v>81</v>
      </c>
      <c r="D218" s="15">
        <v>0.3</v>
      </c>
      <c r="E218" s="15">
        <v>2</v>
      </c>
      <c r="F218" s="15">
        <v>4</v>
      </c>
      <c r="G218" s="15">
        <v>6</v>
      </c>
      <c r="H218" s="44">
        <f t="shared" si="3"/>
        <v>0.16666666666666666</v>
      </c>
      <c r="I218" s="8"/>
      <c r="J218" s="8"/>
      <c r="K218" s="8"/>
      <c r="L218" s="10"/>
    </row>
    <row r="219" spans="1:12">
      <c r="A219" s="7"/>
      <c r="B219" s="15">
        <v>78</v>
      </c>
      <c r="C219" s="15">
        <v>81</v>
      </c>
      <c r="D219" s="15">
        <v>0.2</v>
      </c>
      <c r="E219" s="15">
        <v>4</v>
      </c>
      <c r="F219" s="15">
        <v>2</v>
      </c>
      <c r="G219" s="15">
        <v>6</v>
      </c>
      <c r="H219" s="44">
        <f t="shared" si="3"/>
        <v>0.16666666666666666</v>
      </c>
      <c r="I219" s="8"/>
      <c r="J219" s="8"/>
      <c r="K219" s="8"/>
      <c r="L219" s="10"/>
    </row>
    <row r="220" spans="1:12">
      <c r="A220" s="7"/>
      <c r="B220" s="15">
        <v>78</v>
      </c>
      <c r="C220" s="15">
        <v>81</v>
      </c>
      <c r="D220" s="15">
        <v>0.1</v>
      </c>
      <c r="E220" s="15">
        <v>1</v>
      </c>
      <c r="F220" s="15">
        <v>1</v>
      </c>
      <c r="G220" s="15">
        <v>2</v>
      </c>
      <c r="H220" s="44">
        <f t="shared" si="3"/>
        <v>0.5</v>
      </c>
      <c r="I220" s="8"/>
      <c r="J220" s="8"/>
      <c r="K220" s="8"/>
      <c r="L220" s="10"/>
    </row>
    <row r="221" spans="1:12">
      <c r="A221" s="11"/>
      <c r="B221" s="19">
        <v>78</v>
      </c>
      <c r="C221" s="19">
        <v>81</v>
      </c>
      <c r="D221" s="19">
        <v>0.3</v>
      </c>
      <c r="E221" s="19">
        <v>3</v>
      </c>
      <c r="F221" s="19">
        <v>1</v>
      </c>
      <c r="G221" s="19">
        <v>4</v>
      </c>
      <c r="H221" s="46">
        <f t="shared" si="3"/>
        <v>0.25</v>
      </c>
      <c r="I221" s="12"/>
      <c r="J221" s="12"/>
      <c r="K221" s="12">
        <f>SUM(G204:G221)</f>
        <v>105</v>
      </c>
      <c r="L221" s="14">
        <f>SUM(E204:E221)</f>
        <v>62</v>
      </c>
    </row>
    <row r="222" spans="1:12">
      <c r="A222" s="3" t="s">
        <v>88</v>
      </c>
      <c r="B222" s="17">
        <v>79</v>
      </c>
      <c r="C222" s="17">
        <v>81</v>
      </c>
      <c r="D222" s="17">
        <v>0.1</v>
      </c>
      <c r="E222" s="17">
        <v>3</v>
      </c>
      <c r="F222" s="17">
        <v>0</v>
      </c>
      <c r="G222" s="17">
        <v>3</v>
      </c>
      <c r="H222" s="45">
        <f t="shared" si="3"/>
        <v>0.33333333333333331</v>
      </c>
      <c r="I222" s="41">
        <f>9/120</f>
        <v>7.4999999999999997E-2</v>
      </c>
      <c r="J222" s="41">
        <f>10/120</f>
        <v>8.3333333333333329E-2</v>
      </c>
      <c r="K222" s="4">
        <v>225</v>
      </c>
      <c r="L222" s="6">
        <v>148</v>
      </c>
    </row>
    <row r="223" spans="1:12">
      <c r="A223" s="7" t="s">
        <v>13</v>
      </c>
      <c r="B223" s="15">
        <v>79</v>
      </c>
      <c r="C223" s="15">
        <v>81</v>
      </c>
      <c r="D223" s="15">
        <v>0.1</v>
      </c>
      <c r="E223" s="15">
        <v>1</v>
      </c>
      <c r="F223" s="15">
        <v>0</v>
      </c>
      <c r="G223" s="15">
        <v>1</v>
      </c>
      <c r="H223" s="44">
        <f t="shared" si="3"/>
        <v>1</v>
      </c>
      <c r="I223" s="8"/>
      <c r="J223" s="8"/>
      <c r="K223" s="8"/>
      <c r="L223" s="10"/>
    </row>
    <row r="224" spans="1:12">
      <c r="A224" s="7"/>
      <c r="B224" s="15">
        <v>79</v>
      </c>
      <c r="C224" s="15">
        <v>81</v>
      </c>
      <c r="D224" s="15">
        <v>0.1</v>
      </c>
      <c r="E224" s="15">
        <v>15</v>
      </c>
      <c r="F224" s="15">
        <v>9</v>
      </c>
      <c r="G224" s="15">
        <v>24</v>
      </c>
      <c r="H224" s="44">
        <f t="shared" si="3"/>
        <v>4.1666666666666664E-2</v>
      </c>
      <c r="I224" s="8"/>
      <c r="J224" s="8"/>
      <c r="K224" s="8"/>
      <c r="L224" s="10"/>
    </row>
    <row r="225" spans="1:12">
      <c r="A225" s="7"/>
      <c r="B225" s="15">
        <v>79</v>
      </c>
      <c r="C225" s="15">
        <v>81</v>
      </c>
      <c r="D225" s="15">
        <v>0.1</v>
      </c>
      <c r="E225" s="15">
        <v>21</v>
      </c>
      <c r="F225" s="15">
        <v>7</v>
      </c>
      <c r="G225" s="15">
        <v>28</v>
      </c>
      <c r="H225" s="44">
        <f t="shared" si="3"/>
        <v>3.5714285714285712E-2</v>
      </c>
      <c r="I225" s="8"/>
      <c r="J225" s="8"/>
      <c r="K225" s="8"/>
      <c r="L225" s="10"/>
    </row>
    <row r="226" spans="1:12">
      <c r="A226" s="7"/>
      <c r="B226" s="15">
        <v>79</v>
      </c>
      <c r="C226" s="15">
        <v>81</v>
      </c>
      <c r="D226" s="15">
        <v>0.1</v>
      </c>
      <c r="E226" s="15">
        <v>12</v>
      </c>
      <c r="F226" s="15">
        <v>1</v>
      </c>
      <c r="G226" s="15">
        <v>13</v>
      </c>
      <c r="H226" s="44">
        <f t="shared" si="3"/>
        <v>7.6923076923076927E-2</v>
      </c>
      <c r="I226" s="8"/>
      <c r="J226" s="8"/>
      <c r="K226" s="8"/>
      <c r="L226" s="10"/>
    </row>
    <row r="227" spans="1:12">
      <c r="A227" s="7"/>
      <c r="B227" s="15">
        <v>79</v>
      </c>
      <c r="C227" s="15">
        <v>81</v>
      </c>
      <c r="D227" s="15">
        <v>0.1</v>
      </c>
      <c r="E227" s="15">
        <v>2</v>
      </c>
      <c r="F227" s="15">
        <v>3</v>
      </c>
      <c r="G227" s="15">
        <v>5</v>
      </c>
      <c r="H227" s="44">
        <f t="shared" si="3"/>
        <v>0.2</v>
      </c>
      <c r="I227" s="8"/>
      <c r="J227" s="8"/>
      <c r="K227" s="8"/>
      <c r="L227" s="10"/>
    </row>
    <row r="228" spans="1:12">
      <c r="A228" s="7"/>
      <c r="B228" s="15">
        <v>79</v>
      </c>
      <c r="C228" s="15">
        <v>81</v>
      </c>
      <c r="D228" s="15">
        <v>0.2</v>
      </c>
      <c r="E228" s="15">
        <v>18</v>
      </c>
      <c r="F228" s="15">
        <v>10</v>
      </c>
      <c r="G228" s="15">
        <v>28</v>
      </c>
      <c r="H228" s="44">
        <f t="shared" si="3"/>
        <v>3.5714285714285712E-2</v>
      </c>
      <c r="I228" s="8"/>
      <c r="J228" s="8"/>
      <c r="K228" s="8"/>
      <c r="L228" s="10"/>
    </row>
    <row r="229" spans="1:12">
      <c r="A229" s="7"/>
      <c r="B229" s="15">
        <v>79</v>
      </c>
      <c r="C229" s="15">
        <v>81</v>
      </c>
      <c r="D229" s="15">
        <v>0.1</v>
      </c>
      <c r="E229" s="15">
        <v>1</v>
      </c>
      <c r="F229" s="15">
        <v>1</v>
      </c>
      <c r="G229" s="15">
        <v>2</v>
      </c>
      <c r="H229" s="44">
        <f t="shared" si="3"/>
        <v>0.5</v>
      </c>
      <c r="I229" s="8"/>
      <c r="J229" s="8"/>
      <c r="K229" s="8"/>
      <c r="L229" s="10"/>
    </row>
    <row r="230" spans="1:12">
      <c r="A230" s="11"/>
      <c r="B230" s="19">
        <v>79</v>
      </c>
      <c r="C230" s="19">
        <v>81</v>
      </c>
      <c r="D230" s="19">
        <v>0.1</v>
      </c>
      <c r="E230" s="19">
        <v>13</v>
      </c>
      <c r="F230" s="19">
        <v>3</v>
      </c>
      <c r="G230" s="19">
        <v>16</v>
      </c>
      <c r="H230" s="46">
        <f t="shared" si="3"/>
        <v>6.25E-2</v>
      </c>
      <c r="I230" s="12"/>
      <c r="J230" s="12"/>
      <c r="K230" s="12">
        <f>SUM(G204:G230)</f>
        <v>225</v>
      </c>
      <c r="L230" s="14">
        <f>SUM(E204:E230)</f>
        <v>148</v>
      </c>
    </row>
    <row r="231" spans="1:12">
      <c r="A231" s="3" t="s">
        <v>88</v>
      </c>
      <c r="B231" s="17">
        <v>80</v>
      </c>
      <c r="C231" s="17">
        <v>81</v>
      </c>
      <c r="D231" s="17">
        <v>0.1</v>
      </c>
      <c r="E231" s="17">
        <v>7</v>
      </c>
      <c r="F231" s="17">
        <v>1</v>
      </c>
      <c r="G231" s="17">
        <v>8</v>
      </c>
      <c r="H231" s="45">
        <f t="shared" si="3"/>
        <v>0.125</v>
      </c>
      <c r="I231" s="41">
        <f>10/287</f>
        <v>3.484320557491289E-2</v>
      </c>
      <c r="J231" s="41">
        <f>11/287</f>
        <v>3.8327526132404179E-2</v>
      </c>
      <c r="K231" s="4">
        <v>512</v>
      </c>
      <c r="L231" s="6">
        <v>400</v>
      </c>
    </row>
    <row r="232" spans="1:12">
      <c r="A232" s="7" t="s">
        <v>14</v>
      </c>
      <c r="B232" s="15">
        <v>80</v>
      </c>
      <c r="C232" s="15">
        <v>81</v>
      </c>
      <c r="D232" s="15">
        <v>0.1</v>
      </c>
      <c r="E232" s="15">
        <v>36</v>
      </c>
      <c r="F232" s="15">
        <v>7</v>
      </c>
      <c r="G232" s="15">
        <v>43</v>
      </c>
      <c r="H232" s="44">
        <f t="shared" si="3"/>
        <v>2.3255813953488372E-2</v>
      </c>
      <c r="I232" s="8"/>
      <c r="J232" s="8"/>
      <c r="K232" s="8"/>
      <c r="L232" s="10"/>
    </row>
    <row r="233" spans="1:12">
      <c r="A233" s="7"/>
      <c r="B233" s="15">
        <v>80</v>
      </c>
      <c r="C233" s="15">
        <v>81</v>
      </c>
      <c r="D233" s="15">
        <v>0.1</v>
      </c>
      <c r="E233" s="15">
        <v>4</v>
      </c>
      <c r="F233" s="15">
        <v>0</v>
      </c>
      <c r="G233" s="15">
        <v>4</v>
      </c>
      <c r="H233" s="44">
        <f t="shared" si="3"/>
        <v>0.25</v>
      </c>
      <c r="I233" s="8"/>
      <c r="J233" s="8"/>
      <c r="K233" s="8"/>
      <c r="L233" s="10"/>
    </row>
    <row r="234" spans="1:12">
      <c r="A234" s="7"/>
      <c r="B234" s="15">
        <v>80</v>
      </c>
      <c r="C234" s="15">
        <v>81</v>
      </c>
      <c r="D234" s="15">
        <v>0.1</v>
      </c>
      <c r="E234" s="15">
        <v>26</v>
      </c>
      <c r="F234" s="15">
        <v>4</v>
      </c>
      <c r="G234" s="15">
        <v>30</v>
      </c>
      <c r="H234" s="44">
        <f t="shared" si="3"/>
        <v>3.3333333333333333E-2</v>
      </c>
      <c r="I234" s="8"/>
      <c r="J234" s="8"/>
      <c r="K234" s="8"/>
      <c r="L234" s="10"/>
    </row>
    <row r="235" spans="1:12">
      <c r="A235" s="7"/>
      <c r="B235" s="15">
        <v>80</v>
      </c>
      <c r="C235" s="15">
        <v>81</v>
      </c>
      <c r="D235" s="15">
        <v>0.1</v>
      </c>
      <c r="E235" s="15">
        <v>27</v>
      </c>
      <c r="F235" s="15">
        <v>2</v>
      </c>
      <c r="G235" s="15">
        <v>29</v>
      </c>
      <c r="H235" s="44">
        <f t="shared" si="3"/>
        <v>3.4482758620689655E-2</v>
      </c>
      <c r="I235" s="8"/>
      <c r="J235" s="8"/>
      <c r="K235" s="8"/>
      <c r="L235" s="10"/>
    </row>
    <row r="236" spans="1:12">
      <c r="A236" s="7"/>
      <c r="B236" s="15">
        <v>80</v>
      </c>
      <c r="C236" s="15">
        <v>81</v>
      </c>
      <c r="D236" s="15">
        <v>0.1</v>
      </c>
      <c r="E236" s="15">
        <v>64</v>
      </c>
      <c r="F236" s="15">
        <v>6</v>
      </c>
      <c r="G236" s="15">
        <v>70</v>
      </c>
      <c r="H236" s="44">
        <f t="shared" si="3"/>
        <v>1.4285714285714285E-2</v>
      </c>
      <c r="I236" s="8"/>
      <c r="J236" s="8"/>
      <c r="K236" s="8"/>
      <c r="L236" s="10"/>
    </row>
    <row r="237" spans="1:12">
      <c r="A237" s="7"/>
      <c r="B237" s="15">
        <v>80</v>
      </c>
      <c r="C237" s="15">
        <v>81</v>
      </c>
      <c r="D237" s="15">
        <v>0.1</v>
      </c>
      <c r="E237" s="15">
        <v>35</v>
      </c>
      <c r="F237" s="15">
        <v>3</v>
      </c>
      <c r="G237" s="15">
        <v>38</v>
      </c>
      <c r="H237" s="44">
        <f t="shared" si="3"/>
        <v>2.6315789473684209E-2</v>
      </c>
      <c r="I237" s="8"/>
      <c r="J237" s="8"/>
      <c r="K237" s="8"/>
      <c r="L237" s="10"/>
    </row>
    <row r="238" spans="1:12">
      <c r="A238" s="7"/>
      <c r="B238" s="15">
        <v>80</v>
      </c>
      <c r="C238" s="15">
        <v>81</v>
      </c>
      <c r="D238" s="15">
        <v>0.1</v>
      </c>
      <c r="E238" s="15">
        <v>20</v>
      </c>
      <c r="F238" s="15">
        <v>6</v>
      </c>
      <c r="G238" s="15">
        <v>26</v>
      </c>
      <c r="H238" s="44">
        <f t="shared" si="3"/>
        <v>3.8461538461538464E-2</v>
      </c>
      <c r="I238" s="8"/>
      <c r="J238" s="8"/>
      <c r="K238" s="8"/>
      <c r="L238" s="10"/>
    </row>
    <row r="239" spans="1:12">
      <c r="A239" s="7"/>
      <c r="B239" s="15">
        <v>80</v>
      </c>
      <c r="C239" s="15">
        <v>81</v>
      </c>
      <c r="D239" s="15">
        <v>0.1</v>
      </c>
      <c r="E239" s="15">
        <v>23</v>
      </c>
      <c r="F239" s="15">
        <v>5</v>
      </c>
      <c r="G239" s="15">
        <v>28</v>
      </c>
      <c r="H239" s="44">
        <f t="shared" si="3"/>
        <v>3.5714285714285712E-2</v>
      </c>
      <c r="I239" s="8"/>
      <c r="J239" s="8"/>
      <c r="K239" s="8"/>
      <c r="L239" s="10"/>
    </row>
    <row r="240" spans="1:12">
      <c r="A240" s="11"/>
      <c r="B240" s="19">
        <v>80</v>
      </c>
      <c r="C240" s="19">
        <v>81</v>
      </c>
      <c r="D240" s="19">
        <v>0.2</v>
      </c>
      <c r="E240" s="19">
        <v>10</v>
      </c>
      <c r="F240" s="19">
        <v>1</v>
      </c>
      <c r="G240" s="19">
        <v>11</v>
      </c>
      <c r="H240" s="46">
        <f t="shared" si="3"/>
        <v>9.0909090909090912E-2</v>
      </c>
      <c r="I240" s="12"/>
      <c r="J240" s="12"/>
      <c r="K240" s="12">
        <f>SUM(G204:G240)</f>
        <v>512</v>
      </c>
      <c r="L240" s="14">
        <f>SUM(E204:E240)</f>
        <v>400</v>
      </c>
    </row>
    <row r="241" spans="1:12">
      <c r="A241" s="3" t="s">
        <v>104</v>
      </c>
      <c r="B241" s="17">
        <v>81</v>
      </c>
      <c r="C241" s="17">
        <v>85</v>
      </c>
      <c r="D241" s="17">
        <v>0.1</v>
      </c>
      <c r="E241" s="17">
        <v>2</v>
      </c>
      <c r="F241" s="17">
        <v>2</v>
      </c>
      <c r="G241" s="17">
        <v>4</v>
      </c>
      <c r="H241" s="45">
        <f t="shared" si="3"/>
        <v>0.25</v>
      </c>
      <c r="I241" s="41">
        <f>7/73</f>
        <v>9.5890410958904104E-2</v>
      </c>
      <c r="J241" s="41">
        <f>9/73</f>
        <v>0.12328767123287671</v>
      </c>
      <c r="K241" s="4">
        <v>73</v>
      </c>
      <c r="L241" s="6">
        <v>41</v>
      </c>
    </row>
    <row r="242" spans="1:12">
      <c r="A242" s="7" t="s">
        <v>97</v>
      </c>
      <c r="B242" s="15">
        <v>81</v>
      </c>
      <c r="C242" s="15">
        <v>85</v>
      </c>
      <c r="D242" s="15">
        <v>0.1</v>
      </c>
      <c r="E242" s="15">
        <v>4</v>
      </c>
      <c r="F242" s="15">
        <v>1</v>
      </c>
      <c r="G242" s="15">
        <v>5</v>
      </c>
      <c r="H242" s="44">
        <f t="shared" si="3"/>
        <v>0.2</v>
      </c>
      <c r="I242" s="8"/>
      <c r="J242" s="8"/>
      <c r="K242" s="8"/>
      <c r="L242" s="10"/>
    </row>
    <row r="243" spans="1:12">
      <c r="A243" s="7"/>
      <c r="B243" s="15">
        <v>81</v>
      </c>
      <c r="C243" s="15">
        <v>85</v>
      </c>
      <c r="D243" s="15">
        <v>0.2</v>
      </c>
      <c r="E243" s="15">
        <v>2</v>
      </c>
      <c r="F243" s="15">
        <v>3</v>
      </c>
      <c r="G243" s="15">
        <v>5</v>
      </c>
      <c r="H243" s="44">
        <f t="shared" si="3"/>
        <v>0.2</v>
      </c>
      <c r="I243" s="8"/>
      <c r="J243" s="8"/>
      <c r="K243" s="8"/>
      <c r="L243" s="10"/>
    </row>
    <row r="244" spans="1:12">
      <c r="A244" s="7"/>
      <c r="B244" s="15">
        <v>81</v>
      </c>
      <c r="C244" s="15">
        <v>85</v>
      </c>
      <c r="D244" s="15">
        <v>0.1</v>
      </c>
      <c r="E244" s="15">
        <v>18</v>
      </c>
      <c r="F244" s="15">
        <v>16</v>
      </c>
      <c r="G244" s="15">
        <v>34</v>
      </c>
      <c r="H244" s="44">
        <f t="shared" si="3"/>
        <v>2.9411764705882353E-2</v>
      </c>
      <c r="I244" s="8"/>
      <c r="J244" s="8"/>
      <c r="K244" s="8"/>
      <c r="L244" s="10"/>
    </row>
    <row r="245" spans="1:12">
      <c r="A245" s="7"/>
      <c r="B245" s="15">
        <v>81</v>
      </c>
      <c r="C245" s="15">
        <v>85</v>
      </c>
      <c r="D245" s="15">
        <v>0.1</v>
      </c>
      <c r="E245" s="15">
        <v>3</v>
      </c>
      <c r="F245" s="15">
        <v>1</v>
      </c>
      <c r="G245" s="15">
        <v>4</v>
      </c>
      <c r="H245" s="44">
        <f t="shared" si="3"/>
        <v>0.25</v>
      </c>
      <c r="I245" s="8"/>
      <c r="J245" s="8"/>
      <c r="K245" s="8"/>
      <c r="L245" s="10"/>
    </row>
    <row r="246" spans="1:12">
      <c r="A246" s="7"/>
      <c r="B246" s="15">
        <v>81</v>
      </c>
      <c r="C246" s="15">
        <v>85</v>
      </c>
      <c r="D246" s="15">
        <v>0.1</v>
      </c>
      <c r="E246" s="15">
        <v>4</v>
      </c>
      <c r="F246" s="15">
        <v>4</v>
      </c>
      <c r="G246" s="15">
        <v>8</v>
      </c>
      <c r="H246" s="44">
        <f t="shared" si="3"/>
        <v>0.125</v>
      </c>
      <c r="I246" s="8"/>
      <c r="J246" s="8"/>
      <c r="K246" s="8"/>
      <c r="L246" s="10"/>
    </row>
    <row r="247" spans="1:12">
      <c r="A247" s="11"/>
      <c r="B247" s="19">
        <v>81</v>
      </c>
      <c r="C247" s="19">
        <v>85</v>
      </c>
      <c r="D247" s="19">
        <v>0.2</v>
      </c>
      <c r="E247" s="19">
        <v>8</v>
      </c>
      <c r="F247" s="19">
        <v>5</v>
      </c>
      <c r="G247" s="19">
        <v>13</v>
      </c>
      <c r="H247" s="46">
        <f t="shared" si="3"/>
        <v>7.6923076923076927E-2</v>
      </c>
      <c r="I247" s="12"/>
      <c r="J247" s="12"/>
      <c r="K247" s="12">
        <f>SUM(G241:G247)</f>
        <v>73</v>
      </c>
      <c r="L247" s="14">
        <f>SUM(E241:E247)</f>
        <v>41</v>
      </c>
    </row>
    <row r="248" spans="1:12">
      <c r="A248" s="3" t="s">
        <v>104</v>
      </c>
      <c r="B248" s="17">
        <v>82</v>
      </c>
      <c r="C248" s="17">
        <v>85</v>
      </c>
      <c r="D248" s="17">
        <v>0.1</v>
      </c>
      <c r="E248" s="17">
        <v>1</v>
      </c>
      <c r="F248" s="17">
        <v>0</v>
      </c>
      <c r="G248" s="17">
        <v>1</v>
      </c>
      <c r="H248" s="45">
        <f t="shared" si="3"/>
        <v>1</v>
      </c>
      <c r="I248" s="41">
        <f>7/63</f>
        <v>0.1111111111111111</v>
      </c>
      <c r="J248" s="41">
        <f>10/63</f>
        <v>0.15873015873015872</v>
      </c>
      <c r="K248" s="4">
        <v>136</v>
      </c>
      <c r="L248" s="6">
        <v>78</v>
      </c>
    </row>
    <row r="249" spans="1:12">
      <c r="A249" s="7" t="s">
        <v>12</v>
      </c>
      <c r="B249" s="15">
        <v>82</v>
      </c>
      <c r="C249" s="15">
        <v>85</v>
      </c>
      <c r="D249" s="15">
        <v>0.3</v>
      </c>
      <c r="E249" s="15">
        <v>9</v>
      </c>
      <c r="F249" s="15">
        <v>8</v>
      </c>
      <c r="G249" s="15">
        <v>17</v>
      </c>
      <c r="H249" s="44">
        <f t="shared" si="3"/>
        <v>5.8823529411764705E-2</v>
      </c>
      <c r="I249" s="8"/>
      <c r="J249" s="8"/>
      <c r="K249" s="8"/>
      <c r="L249" s="10"/>
    </row>
    <row r="250" spans="1:12">
      <c r="A250" s="7"/>
      <c r="B250" s="15">
        <v>82</v>
      </c>
      <c r="C250" s="15">
        <v>85</v>
      </c>
      <c r="D250" s="15">
        <v>0.1</v>
      </c>
      <c r="E250" s="15">
        <v>9</v>
      </c>
      <c r="F250" s="15">
        <v>6</v>
      </c>
      <c r="G250" s="15">
        <v>15</v>
      </c>
      <c r="H250" s="44">
        <f t="shared" si="3"/>
        <v>6.6666666666666666E-2</v>
      </c>
      <c r="I250" s="8"/>
      <c r="J250" s="8"/>
      <c r="K250" s="8"/>
      <c r="L250" s="10"/>
    </row>
    <row r="251" spans="1:12">
      <c r="A251" s="7"/>
      <c r="B251" s="15">
        <v>82</v>
      </c>
      <c r="C251" s="15">
        <v>85</v>
      </c>
      <c r="D251" s="15">
        <v>0.1</v>
      </c>
      <c r="E251" s="15">
        <v>1</v>
      </c>
      <c r="F251" s="15">
        <v>0</v>
      </c>
      <c r="G251" s="15">
        <v>1</v>
      </c>
      <c r="H251" s="44">
        <f t="shared" si="3"/>
        <v>1</v>
      </c>
      <c r="I251" s="8"/>
      <c r="J251" s="8"/>
      <c r="K251" s="8"/>
      <c r="L251" s="10"/>
    </row>
    <row r="252" spans="1:12">
      <c r="A252" s="7"/>
      <c r="B252" s="15">
        <v>82</v>
      </c>
      <c r="C252" s="15">
        <v>85</v>
      </c>
      <c r="D252" s="15">
        <v>0.2</v>
      </c>
      <c r="E252" s="15">
        <v>11</v>
      </c>
      <c r="F252" s="15">
        <v>10</v>
      </c>
      <c r="G252" s="15">
        <v>21</v>
      </c>
      <c r="H252" s="44">
        <f t="shared" si="3"/>
        <v>4.7619047619047616E-2</v>
      </c>
      <c r="I252" s="8"/>
      <c r="J252" s="8"/>
      <c r="K252" s="8"/>
      <c r="L252" s="10"/>
    </row>
    <row r="253" spans="1:12">
      <c r="A253" s="7"/>
      <c r="B253" s="15">
        <v>82</v>
      </c>
      <c r="C253" s="15">
        <v>85</v>
      </c>
      <c r="D253" s="15">
        <v>0.1</v>
      </c>
      <c r="E253" s="15">
        <v>4</v>
      </c>
      <c r="F253" s="15">
        <v>2</v>
      </c>
      <c r="G253" s="15">
        <v>6</v>
      </c>
      <c r="H253" s="44">
        <f t="shared" si="3"/>
        <v>0.16666666666666666</v>
      </c>
      <c r="I253" s="8"/>
      <c r="J253" s="8"/>
      <c r="K253" s="8"/>
      <c r="L253" s="10"/>
    </row>
    <row r="254" spans="1:12">
      <c r="A254" s="11"/>
      <c r="B254" s="19">
        <v>82</v>
      </c>
      <c r="C254" s="19">
        <v>85</v>
      </c>
      <c r="D254" s="19">
        <v>0.1</v>
      </c>
      <c r="E254" s="19">
        <v>2</v>
      </c>
      <c r="F254" s="19">
        <v>0</v>
      </c>
      <c r="G254" s="19">
        <v>2</v>
      </c>
      <c r="H254" s="46">
        <f t="shared" si="3"/>
        <v>0.5</v>
      </c>
      <c r="I254" s="12"/>
      <c r="J254" s="12"/>
      <c r="K254" s="12">
        <f>SUM(G241:G254)</f>
        <v>136</v>
      </c>
      <c r="L254" s="14">
        <f>SUM(E241:E254)</f>
        <v>78</v>
      </c>
    </row>
    <row r="255" spans="1:12">
      <c r="A255" s="3" t="s">
        <v>104</v>
      </c>
      <c r="B255" s="17">
        <v>83</v>
      </c>
      <c r="C255" s="17">
        <v>85</v>
      </c>
      <c r="D255" s="17">
        <v>0.1</v>
      </c>
      <c r="E255" s="17">
        <v>8</v>
      </c>
      <c r="F255" s="17">
        <v>3</v>
      </c>
      <c r="G255" s="17">
        <v>11</v>
      </c>
      <c r="H255" s="45">
        <f t="shared" si="3"/>
        <v>9.0909090909090912E-2</v>
      </c>
      <c r="I255" s="41">
        <f>10/208</f>
        <v>4.807692307692308E-2</v>
      </c>
      <c r="J255" s="41">
        <f>11/208</f>
        <v>5.2884615384615384E-2</v>
      </c>
      <c r="K255" s="4">
        <v>344</v>
      </c>
      <c r="L255" s="6">
        <v>235</v>
      </c>
    </row>
    <row r="256" spans="1:12">
      <c r="A256" s="7" t="s">
        <v>13</v>
      </c>
      <c r="B256" s="15">
        <v>83</v>
      </c>
      <c r="C256" s="15">
        <v>85</v>
      </c>
      <c r="D256" s="15">
        <v>0.1</v>
      </c>
      <c r="E256" s="15">
        <v>57</v>
      </c>
      <c r="F256" s="15">
        <v>19</v>
      </c>
      <c r="G256" s="15">
        <v>76</v>
      </c>
      <c r="H256" s="44">
        <f t="shared" si="3"/>
        <v>1.3157894736842105E-2</v>
      </c>
      <c r="I256" s="8"/>
      <c r="J256" s="8"/>
      <c r="K256" s="8"/>
      <c r="L256" s="10"/>
    </row>
    <row r="257" spans="1:12">
      <c r="A257" s="7"/>
      <c r="B257" s="15">
        <v>83</v>
      </c>
      <c r="C257" s="15">
        <v>85</v>
      </c>
      <c r="D257" s="15">
        <v>0.1</v>
      </c>
      <c r="E257" s="15">
        <v>21</v>
      </c>
      <c r="F257" s="15">
        <v>6</v>
      </c>
      <c r="G257" s="15">
        <v>27</v>
      </c>
      <c r="H257" s="44">
        <f t="shared" si="3"/>
        <v>3.7037037037037035E-2</v>
      </c>
      <c r="I257" s="8"/>
      <c r="J257" s="8"/>
      <c r="K257" s="8"/>
      <c r="L257" s="10"/>
    </row>
    <row r="258" spans="1:12">
      <c r="A258" s="7"/>
      <c r="B258" s="15">
        <v>83</v>
      </c>
      <c r="C258" s="15">
        <v>85</v>
      </c>
      <c r="D258" s="15">
        <v>0.1</v>
      </c>
      <c r="E258" s="15">
        <v>17</v>
      </c>
      <c r="F258" s="15">
        <v>8</v>
      </c>
      <c r="G258" s="15">
        <v>25</v>
      </c>
      <c r="H258" s="44">
        <f t="shared" ref="H258:H321" si="4">1/G258</f>
        <v>0.04</v>
      </c>
      <c r="I258" s="8"/>
      <c r="J258" s="8"/>
      <c r="K258" s="8"/>
      <c r="L258" s="10"/>
    </row>
    <row r="259" spans="1:12">
      <c r="A259" s="7"/>
      <c r="B259" s="15">
        <v>83</v>
      </c>
      <c r="C259" s="15">
        <v>85</v>
      </c>
      <c r="D259" s="15">
        <v>0.1</v>
      </c>
      <c r="E259" s="15">
        <v>2</v>
      </c>
      <c r="F259" s="15">
        <v>1</v>
      </c>
      <c r="G259" s="15">
        <v>3</v>
      </c>
      <c r="H259" s="44">
        <f t="shared" si="4"/>
        <v>0.33333333333333331</v>
      </c>
      <c r="I259" s="8"/>
      <c r="J259" s="8"/>
      <c r="K259" s="8"/>
      <c r="L259" s="10"/>
    </row>
    <row r="260" spans="1:12">
      <c r="A260" s="7"/>
      <c r="B260" s="15">
        <v>83</v>
      </c>
      <c r="C260" s="15">
        <v>85</v>
      </c>
      <c r="D260" s="15">
        <v>0.1</v>
      </c>
      <c r="E260" s="15">
        <v>10</v>
      </c>
      <c r="F260" s="15">
        <v>2</v>
      </c>
      <c r="G260" s="15">
        <v>12</v>
      </c>
      <c r="H260" s="44">
        <f t="shared" si="4"/>
        <v>8.3333333333333329E-2</v>
      </c>
      <c r="I260" s="8"/>
      <c r="J260" s="8"/>
      <c r="K260" s="8"/>
      <c r="L260" s="10"/>
    </row>
    <row r="261" spans="1:12">
      <c r="A261" s="7"/>
      <c r="B261" s="15">
        <v>83</v>
      </c>
      <c r="C261" s="15">
        <v>85</v>
      </c>
      <c r="D261" s="15">
        <v>0.1</v>
      </c>
      <c r="E261" s="15">
        <v>7</v>
      </c>
      <c r="F261" s="15">
        <v>1</v>
      </c>
      <c r="G261" s="15">
        <v>8</v>
      </c>
      <c r="H261" s="44">
        <f t="shared" si="4"/>
        <v>0.125</v>
      </c>
      <c r="I261" s="8"/>
      <c r="J261" s="8"/>
      <c r="K261" s="8"/>
      <c r="L261" s="10"/>
    </row>
    <row r="262" spans="1:12">
      <c r="A262" s="7"/>
      <c r="B262" s="15">
        <v>83</v>
      </c>
      <c r="C262" s="15">
        <v>85</v>
      </c>
      <c r="D262" s="15">
        <v>0.1</v>
      </c>
      <c r="E262" s="15">
        <v>9</v>
      </c>
      <c r="F262" s="15">
        <v>3</v>
      </c>
      <c r="G262" s="15">
        <v>12</v>
      </c>
      <c r="H262" s="44">
        <f t="shared" si="4"/>
        <v>8.3333333333333329E-2</v>
      </c>
      <c r="I262" s="8"/>
      <c r="J262" s="8"/>
      <c r="K262" s="8"/>
      <c r="L262" s="10"/>
    </row>
    <row r="263" spans="1:12">
      <c r="A263" s="7"/>
      <c r="B263" s="15">
        <v>83</v>
      </c>
      <c r="C263" s="15">
        <v>85</v>
      </c>
      <c r="D263" s="15">
        <v>0.1</v>
      </c>
      <c r="E263" s="15">
        <v>2</v>
      </c>
      <c r="F263" s="15">
        <v>0</v>
      </c>
      <c r="G263" s="15">
        <v>2</v>
      </c>
      <c r="H263" s="44">
        <f t="shared" si="4"/>
        <v>0.5</v>
      </c>
      <c r="I263" s="8"/>
      <c r="J263" s="8"/>
      <c r="K263" s="8"/>
      <c r="L263" s="10"/>
    </row>
    <row r="264" spans="1:12">
      <c r="A264" s="11"/>
      <c r="B264" s="19">
        <v>83</v>
      </c>
      <c r="C264" s="19">
        <v>85</v>
      </c>
      <c r="D264" s="19">
        <v>0.2</v>
      </c>
      <c r="E264" s="19">
        <v>24</v>
      </c>
      <c r="F264" s="19">
        <v>8</v>
      </c>
      <c r="G264" s="19">
        <v>32</v>
      </c>
      <c r="H264" s="46">
        <f t="shared" si="4"/>
        <v>3.125E-2</v>
      </c>
      <c r="I264" s="12"/>
      <c r="J264" s="12"/>
      <c r="K264" s="12">
        <f>SUM(G241:G264)</f>
        <v>344</v>
      </c>
      <c r="L264" s="14">
        <f>SUM(E241:E264)</f>
        <v>235</v>
      </c>
    </row>
    <row r="265" spans="1:12">
      <c r="A265" s="3" t="s">
        <v>104</v>
      </c>
      <c r="B265" s="17">
        <v>84</v>
      </c>
      <c r="C265" s="17">
        <v>85</v>
      </c>
      <c r="D265" s="17">
        <v>0.1</v>
      </c>
      <c r="E265" s="17">
        <v>2</v>
      </c>
      <c r="F265" s="17">
        <v>0</v>
      </c>
      <c r="G265" s="17">
        <v>2</v>
      </c>
      <c r="H265" s="45">
        <f t="shared" si="4"/>
        <v>0.5</v>
      </c>
      <c r="I265" s="41">
        <f>8/132</f>
        <v>6.0606060606060608E-2</v>
      </c>
      <c r="J265" s="41">
        <f>9/132</f>
        <v>6.8181818181818177E-2</v>
      </c>
      <c r="K265" s="4">
        <v>476</v>
      </c>
      <c r="L265" s="6">
        <v>350</v>
      </c>
    </row>
    <row r="266" spans="1:12">
      <c r="A266" s="7" t="s">
        <v>14</v>
      </c>
      <c r="B266" s="15">
        <v>84</v>
      </c>
      <c r="C266" s="15">
        <v>85</v>
      </c>
      <c r="D266" s="15">
        <v>0.1</v>
      </c>
      <c r="E266" s="15">
        <v>9</v>
      </c>
      <c r="F266" s="15">
        <v>3</v>
      </c>
      <c r="G266" s="15">
        <v>12</v>
      </c>
      <c r="H266" s="44">
        <f t="shared" si="4"/>
        <v>8.3333333333333329E-2</v>
      </c>
      <c r="I266" s="8"/>
      <c r="J266" s="8"/>
      <c r="K266" s="8"/>
      <c r="L266" s="10"/>
    </row>
    <row r="267" spans="1:12">
      <c r="A267" s="7"/>
      <c r="B267" s="15">
        <v>84</v>
      </c>
      <c r="C267" s="15">
        <v>85</v>
      </c>
      <c r="D267" s="15">
        <v>0.1</v>
      </c>
      <c r="E267" s="15">
        <v>1</v>
      </c>
      <c r="F267" s="15">
        <v>0</v>
      </c>
      <c r="G267" s="15">
        <v>1</v>
      </c>
      <c r="H267" s="44">
        <f t="shared" si="4"/>
        <v>1</v>
      </c>
      <c r="I267" s="8"/>
      <c r="J267" s="8"/>
      <c r="K267" s="8"/>
      <c r="L267" s="10"/>
    </row>
    <row r="268" spans="1:12">
      <c r="A268" s="7"/>
      <c r="B268" s="15">
        <v>84</v>
      </c>
      <c r="C268" s="15">
        <v>85</v>
      </c>
      <c r="D268" s="15">
        <v>0.1</v>
      </c>
      <c r="E268" s="15">
        <v>21</v>
      </c>
      <c r="F268" s="15">
        <v>2</v>
      </c>
      <c r="G268" s="15">
        <v>23</v>
      </c>
      <c r="H268" s="44">
        <f t="shared" si="4"/>
        <v>4.3478260869565216E-2</v>
      </c>
      <c r="I268" s="8"/>
      <c r="J268" s="8"/>
      <c r="K268" s="8"/>
      <c r="L268" s="10"/>
    </row>
    <row r="269" spans="1:12">
      <c r="A269" s="7"/>
      <c r="B269" s="15">
        <v>84</v>
      </c>
      <c r="C269" s="15">
        <v>85</v>
      </c>
      <c r="D269" s="15">
        <v>0.1</v>
      </c>
      <c r="E269" s="15">
        <v>44</v>
      </c>
      <c r="F269" s="15">
        <v>6</v>
      </c>
      <c r="G269" s="15">
        <v>50</v>
      </c>
      <c r="H269" s="44">
        <f t="shared" si="4"/>
        <v>0.02</v>
      </c>
      <c r="I269" s="8"/>
      <c r="J269" s="8"/>
      <c r="K269" s="8"/>
      <c r="L269" s="10"/>
    </row>
    <row r="270" spans="1:12">
      <c r="A270" s="7"/>
      <c r="B270" s="15">
        <v>84</v>
      </c>
      <c r="C270" s="15">
        <v>85</v>
      </c>
      <c r="D270" s="15">
        <v>0.1</v>
      </c>
      <c r="E270" s="15">
        <v>2</v>
      </c>
      <c r="F270" s="15">
        <v>0</v>
      </c>
      <c r="G270" s="15">
        <v>2</v>
      </c>
      <c r="H270" s="44">
        <f t="shared" si="4"/>
        <v>0.5</v>
      </c>
      <c r="I270" s="8"/>
      <c r="J270" s="8"/>
      <c r="K270" s="8"/>
      <c r="L270" s="10"/>
    </row>
    <row r="271" spans="1:12">
      <c r="A271" s="7"/>
      <c r="B271" s="15">
        <v>84</v>
      </c>
      <c r="C271" s="15">
        <v>85</v>
      </c>
      <c r="D271" s="15">
        <v>0.2</v>
      </c>
      <c r="E271" s="15">
        <v>12</v>
      </c>
      <c r="F271" s="15">
        <v>1</v>
      </c>
      <c r="G271" s="15">
        <v>13</v>
      </c>
      <c r="H271" s="44">
        <f t="shared" si="4"/>
        <v>7.6923076923076927E-2</v>
      </c>
      <c r="I271" s="8"/>
      <c r="J271" s="8"/>
      <c r="K271" s="8"/>
      <c r="L271" s="10"/>
    </row>
    <row r="272" spans="1:12">
      <c r="A272" s="11"/>
      <c r="B272" s="19">
        <v>84</v>
      </c>
      <c r="C272" s="19">
        <v>85</v>
      </c>
      <c r="D272" s="19">
        <v>0.1</v>
      </c>
      <c r="E272" s="19">
        <v>24</v>
      </c>
      <c r="F272" s="19">
        <v>5</v>
      </c>
      <c r="G272" s="19">
        <v>29</v>
      </c>
      <c r="H272" s="46">
        <f t="shared" si="4"/>
        <v>3.4482758620689655E-2</v>
      </c>
      <c r="I272" s="12"/>
      <c r="J272" s="12"/>
      <c r="K272" s="12">
        <f>SUM(G241:G272)</f>
        <v>476</v>
      </c>
      <c r="L272" s="14">
        <f>SUM(E241:E272)</f>
        <v>350</v>
      </c>
    </row>
    <row r="273" spans="1:12">
      <c r="A273" s="3" t="s">
        <v>89</v>
      </c>
      <c r="B273" s="17">
        <v>85</v>
      </c>
      <c r="C273" s="17">
        <v>90</v>
      </c>
      <c r="D273" s="17">
        <v>0.2</v>
      </c>
      <c r="E273" s="17">
        <v>3</v>
      </c>
      <c r="F273" s="17">
        <v>2</v>
      </c>
      <c r="G273" s="17">
        <v>5</v>
      </c>
      <c r="H273" s="45">
        <f t="shared" si="4"/>
        <v>0.2</v>
      </c>
      <c r="I273" s="41">
        <f>6/37</f>
        <v>0.16216216216216217</v>
      </c>
      <c r="J273" s="41">
        <f>12/37</f>
        <v>0.32432432432432434</v>
      </c>
      <c r="K273" s="4">
        <v>37</v>
      </c>
      <c r="L273" s="6">
        <v>18</v>
      </c>
    </row>
    <row r="274" spans="1:12">
      <c r="A274" s="7" t="s">
        <v>33</v>
      </c>
      <c r="B274" s="15">
        <v>85</v>
      </c>
      <c r="C274" s="15">
        <v>90</v>
      </c>
      <c r="D274" s="15">
        <v>0.1</v>
      </c>
      <c r="E274" s="15">
        <v>2</v>
      </c>
      <c r="F274" s="15">
        <v>1</v>
      </c>
      <c r="G274" s="15">
        <v>3</v>
      </c>
      <c r="H274" s="44">
        <f t="shared" si="4"/>
        <v>0.33333333333333331</v>
      </c>
      <c r="I274" s="8"/>
      <c r="J274" s="8"/>
      <c r="K274" s="8"/>
      <c r="L274" s="10"/>
    </row>
    <row r="275" spans="1:12">
      <c r="A275" s="7"/>
      <c r="B275" s="15">
        <v>85</v>
      </c>
      <c r="C275" s="15">
        <v>90</v>
      </c>
      <c r="D275" s="15">
        <v>0.3</v>
      </c>
      <c r="E275" s="15">
        <v>3</v>
      </c>
      <c r="F275" s="15">
        <v>9</v>
      </c>
      <c r="G275" s="15">
        <v>12</v>
      </c>
      <c r="H275" s="44">
        <f t="shared" si="4"/>
        <v>8.3333333333333329E-2</v>
      </c>
      <c r="I275" s="8"/>
      <c r="J275" s="8"/>
      <c r="K275" s="8"/>
      <c r="L275" s="10"/>
    </row>
    <row r="276" spans="1:12">
      <c r="A276" s="7"/>
      <c r="B276" s="15">
        <v>85</v>
      </c>
      <c r="C276" s="15">
        <v>90</v>
      </c>
      <c r="D276" s="15">
        <v>0.2</v>
      </c>
      <c r="E276" s="15">
        <v>2</v>
      </c>
      <c r="F276" s="15">
        <v>1</v>
      </c>
      <c r="G276" s="15">
        <v>3</v>
      </c>
      <c r="H276" s="44">
        <f t="shared" si="4"/>
        <v>0.33333333333333331</v>
      </c>
      <c r="I276" s="8"/>
      <c r="J276" s="8"/>
      <c r="K276" s="8"/>
      <c r="L276" s="10"/>
    </row>
    <row r="277" spans="1:12">
      <c r="A277" s="7"/>
      <c r="B277" s="15">
        <v>85</v>
      </c>
      <c r="C277" s="15">
        <v>90</v>
      </c>
      <c r="D277" s="15">
        <v>0.1</v>
      </c>
      <c r="E277" s="15">
        <v>7</v>
      </c>
      <c r="F277" s="15">
        <v>6</v>
      </c>
      <c r="G277" s="15">
        <v>13</v>
      </c>
      <c r="H277" s="44">
        <f t="shared" si="4"/>
        <v>7.6923076923076927E-2</v>
      </c>
      <c r="I277" s="8"/>
      <c r="J277" s="8"/>
      <c r="K277" s="8"/>
      <c r="L277" s="10"/>
    </row>
    <row r="278" spans="1:12">
      <c r="A278" s="11"/>
      <c r="B278" s="19">
        <v>85</v>
      </c>
      <c r="C278" s="19">
        <v>90</v>
      </c>
      <c r="D278" s="19">
        <v>0.3</v>
      </c>
      <c r="E278" s="19">
        <v>1</v>
      </c>
      <c r="F278" s="19">
        <v>0</v>
      </c>
      <c r="G278" s="19">
        <v>1</v>
      </c>
      <c r="H278" s="46">
        <f t="shared" si="4"/>
        <v>1</v>
      </c>
      <c r="I278" s="12"/>
      <c r="J278" s="12"/>
      <c r="K278" s="12">
        <f>SUM(G273:G278)</f>
        <v>37</v>
      </c>
      <c r="L278" s="14">
        <f>SUM(E273:E278)</f>
        <v>18</v>
      </c>
    </row>
    <row r="279" spans="1:12">
      <c r="A279" s="3" t="s">
        <v>89</v>
      </c>
      <c r="B279" s="17">
        <v>86</v>
      </c>
      <c r="C279" s="17">
        <v>90</v>
      </c>
      <c r="D279" s="17">
        <v>0.2</v>
      </c>
      <c r="E279" s="17">
        <v>4</v>
      </c>
      <c r="F279" s="17">
        <v>1</v>
      </c>
      <c r="G279" s="17">
        <v>5</v>
      </c>
      <c r="H279" s="45">
        <f t="shared" si="4"/>
        <v>0.2</v>
      </c>
      <c r="I279" s="41">
        <f>6/30</f>
        <v>0.2</v>
      </c>
      <c r="J279" s="41">
        <f>8/30</f>
        <v>0.26666666666666666</v>
      </c>
      <c r="K279" s="4">
        <v>67</v>
      </c>
      <c r="L279" s="6">
        <v>33</v>
      </c>
    </row>
    <row r="280" spans="1:12">
      <c r="A280" s="7" t="s">
        <v>97</v>
      </c>
      <c r="B280" s="15">
        <v>86</v>
      </c>
      <c r="C280" s="15">
        <v>90</v>
      </c>
      <c r="D280" s="15">
        <v>0.1</v>
      </c>
      <c r="E280" s="15">
        <v>3</v>
      </c>
      <c r="F280" s="15">
        <v>4</v>
      </c>
      <c r="G280" s="15">
        <v>7</v>
      </c>
      <c r="H280" s="44">
        <f t="shared" si="4"/>
        <v>0.14285714285714285</v>
      </c>
      <c r="I280" s="8"/>
      <c r="J280" s="8"/>
      <c r="K280" s="8"/>
      <c r="L280" s="10"/>
    </row>
    <row r="281" spans="1:12">
      <c r="A281" s="7"/>
      <c r="B281" s="15">
        <v>86</v>
      </c>
      <c r="C281" s="15">
        <v>90</v>
      </c>
      <c r="D281" s="15">
        <v>0.2</v>
      </c>
      <c r="E281" s="15">
        <v>3</v>
      </c>
      <c r="F281" s="15">
        <v>3</v>
      </c>
      <c r="G281" s="15">
        <v>6</v>
      </c>
      <c r="H281" s="44">
        <f t="shared" si="4"/>
        <v>0.16666666666666666</v>
      </c>
      <c r="I281" s="8"/>
      <c r="J281" s="8"/>
      <c r="K281" s="8"/>
      <c r="L281" s="10"/>
    </row>
    <row r="282" spans="1:12">
      <c r="A282" s="7"/>
      <c r="B282" s="15">
        <v>86</v>
      </c>
      <c r="C282" s="15">
        <v>90</v>
      </c>
      <c r="D282" s="15">
        <v>0.1</v>
      </c>
      <c r="E282" s="15">
        <v>2</v>
      </c>
      <c r="F282" s="15">
        <v>4</v>
      </c>
      <c r="G282" s="15">
        <v>6</v>
      </c>
      <c r="H282" s="44">
        <f t="shared" si="4"/>
        <v>0.16666666666666666</v>
      </c>
      <c r="I282" s="8"/>
      <c r="J282" s="8"/>
      <c r="K282" s="8"/>
      <c r="L282" s="10"/>
    </row>
    <row r="283" spans="1:12">
      <c r="A283" s="7"/>
      <c r="B283" s="15">
        <v>86</v>
      </c>
      <c r="C283" s="15">
        <v>90</v>
      </c>
      <c r="D283" s="15">
        <v>0.1</v>
      </c>
      <c r="E283" s="15">
        <v>2</v>
      </c>
      <c r="F283" s="15">
        <v>3</v>
      </c>
      <c r="G283" s="15">
        <v>5</v>
      </c>
      <c r="H283" s="44">
        <f t="shared" si="4"/>
        <v>0.2</v>
      </c>
      <c r="I283" s="8"/>
      <c r="J283" s="8"/>
      <c r="K283" s="8"/>
      <c r="L283" s="10"/>
    </row>
    <row r="284" spans="1:12">
      <c r="A284" s="11"/>
      <c r="B284" s="19">
        <v>86</v>
      </c>
      <c r="C284" s="19">
        <v>90</v>
      </c>
      <c r="D284" s="19">
        <v>0.1</v>
      </c>
      <c r="E284" s="19">
        <v>1</v>
      </c>
      <c r="F284" s="19">
        <v>0</v>
      </c>
      <c r="G284" s="19">
        <v>1</v>
      </c>
      <c r="H284" s="46">
        <f t="shared" si="4"/>
        <v>1</v>
      </c>
      <c r="I284" s="12"/>
      <c r="J284" s="12"/>
      <c r="K284" s="12">
        <f>SUM(G273:G284)</f>
        <v>67</v>
      </c>
      <c r="L284" s="14">
        <f>SUM(E273:E284)</f>
        <v>33</v>
      </c>
    </row>
    <row r="285" spans="1:12">
      <c r="A285" s="3" t="s">
        <v>89</v>
      </c>
      <c r="B285" s="17">
        <v>87</v>
      </c>
      <c r="C285" s="17">
        <v>90</v>
      </c>
      <c r="D285" s="17">
        <v>0.1</v>
      </c>
      <c r="E285" s="17">
        <v>4</v>
      </c>
      <c r="F285" s="17">
        <v>0</v>
      </c>
      <c r="G285" s="17">
        <v>4</v>
      </c>
      <c r="H285" s="45">
        <f t="shared" si="4"/>
        <v>0.25</v>
      </c>
      <c r="I285" s="41">
        <f>7/46</f>
        <v>0.15217391304347827</v>
      </c>
      <c r="J285" s="41">
        <f>10/46</f>
        <v>0.21739130434782608</v>
      </c>
      <c r="K285" s="4">
        <v>113</v>
      </c>
      <c r="L285" s="6">
        <v>65</v>
      </c>
    </row>
    <row r="286" spans="1:12">
      <c r="A286" s="7" t="s">
        <v>12</v>
      </c>
      <c r="B286" s="15">
        <v>87</v>
      </c>
      <c r="C286" s="15">
        <v>90</v>
      </c>
      <c r="D286" s="15">
        <v>0.2</v>
      </c>
      <c r="E286" s="15">
        <v>3</v>
      </c>
      <c r="F286" s="15">
        <v>1</v>
      </c>
      <c r="G286" s="15">
        <v>4</v>
      </c>
      <c r="H286" s="44">
        <f t="shared" si="4"/>
        <v>0.25</v>
      </c>
      <c r="I286" s="8"/>
      <c r="J286" s="8"/>
      <c r="K286" s="8"/>
      <c r="L286" s="10"/>
    </row>
    <row r="287" spans="1:12">
      <c r="A287" s="7"/>
      <c r="B287" s="15">
        <v>87</v>
      </c>
      <c r="C287" s="15">
        <v>90</v>
      </c>
      <c r="D287" s="15">
        <v>0.1</v>
      </c>
      <c r="E287" s="15">
        <v>5</v>
      </c>
      <c r="F287" s="15">
        <v>1</v>
      </c>
      <c r="G287" s="15">
        <v>6</v>
      </c>
      <c r="H287" s="44">
        <f t="shared" si="4"/>
        <v>0.16666666666666666</v>
      </c>
      <c r="I287" s="8"/>
      <c r="J287" s="8"/>
      <c r="K287" s="8"/>
      <c r="L287" s="10"/>
    </row>
    <row r="288" spans="1:12">
      <c r="A288" s="7"/>
      <c r="B288" s="15">
        <v>87</v>
      </c>
      <c r="C288" s="15">
        <v>90</v>
      </c>
      <c r="D288" s="15">
        <v>0.2</v>
      </c>
      <c r="E288" s="15">
        <v>9</v>
      </c>
      <c r="F288" s="15">
        <v>4</v>
      </c>
      <c r="G288" s="15">
        <v>13</v>
      </c>
      <c r="H288" s="44">
        <f t="shared" si="4"/>
        <v>7.6923076923076927E-2</v>
      </c>
      <c r="I288" s="8"/>
      <c r="J288" s="8"/>
      <c r="K288" s="8"/>
      <c r="L288" s="10"/>
    </row>
    <row r="289" spans="1:12">
      <c r="A289" s="7"/>
      <c r="B289" s="15">
        <v>87</v>
      </c>
      <c r="C289" s="15">
        <v>90</v>
      </c>
      <c r="D289" s="15">
        <v>0.2</v>
      </c>
      <c r="E289" s="15">
        <v>9</v>
      </c>
      <c r="F289" s="15">
        <v>6</v>
      </c>
      <c r="G289" s="15">
        <v>15</v>
      </c>
      <c r="H289" s="44">
        <f t="shared" si="4"/>
        <v>6.6666666666666666E-2</v>
      </c>
      <c r="I289" s="8"/>
      <c r="J289" s="8"/>
      <c r="K289" s="8"/>
      <c r="L289" s="10"/>
    </row>
    <row r="290" spans="1:12">
      <c r="A290" s="7"/>
      <c r="B290" s="15">
        <v>87</v>
      </c>
      <c r="C290" s="15">
        <v>90</v>
      </c>
      <c r="D290" s="8">
        <v>0.1</v>
      </c>
      <c r="E290" s="15">
        <v>2</v>
      </c>
      <c r="F290" s="15">
        <v>1</v>
      </c>
      <c r="G290" s="15">
        <v>3</v>
      </c>
      <c r="H290" s="44">
        <f t="shared" si="4"/>
        <v>0.33333333333333331</v>
      </c>
      <c r="I290" s="8"/>
      <c r="J290" s="8"/>
      <c r="K290" s="8"/>
      <c r="L290" s="10"/>
    </row>
    <row r="291" spans="1:12">
      <c r="A291" s="11"/>
      <c r="B291" s="19">
        <v>87</v>
      </c>
      <c r="C291" s="19">
        <v>90</v>
      </c>
      <c r="D291" s="12">
        <v>0.1</v>
      </c>
      <c r="E291" s="19">
        <v>0</v>
      </c>
      <c r="F291" s="19">
        <v>1</v>
      </c>
      <c r="G291" s="19">
        <v>1</v>
      </c>
      <c r="H291" s="46">
        <f t="shared" si="4"/>
        <v>1</v>
      </c>
      <c r="I291" s="12"/>
      <c r="J291" s="12"/>
      <c r="K291" s="12">
        <f>SUM(G273:G291)</f>
        <v>113</v>
      </c>
      <c r="L291" s="14">
        <f>SUM(E273:E291)</f>
        <v>65</v>
      </c>
    </row>
    <row r="292" spans="1:12">
      <c r="A292" s="3" t="s">
        <v>89</v>
      </c>
      <c r="B292" s="17">
        <v>88</v>
      </c>
      <c r="C292" s="17">
        <v>90</v>
      </c>
      <c r="D292" s="17">
        <v>0.1</v>
      </c>
      <c r="E292" s="17">
        <v>10</v>
      </c>
      <c r="F292" s="17">
        <v>4</v>
      </c>
      <c r="G292" s="17">
        <v>14</v>
      </c>
      <c r="H292" s="45">
        <f t="shared" si="4"/>
        <v>7.1428571428571425E-2</v>
      </c>
      <c r="I292" s="41">
        <f>9/155</f>
        <v>5.8064516129032261E-2</v>
      </c>
      <c r="J292" s="41">
        <f>10/155</f>
        <v>6.4516129032258063E-2</v>
      </c>
      <c r="K292" s="4">
        <v>268</v>
      </c>
      <c r="L292" s="6">
        <v>185</v>
      </c>
    </row>
    <row r="293" spans="1:12">
      <c r="A293" s="7" t="s">
        <v>13</v>
      </c>
      <c r="B293" s="15">
        <v>88</v>
      </c>
      <c r="C293" s="15">
        <v>90</v>
      </c>
      <c r="D293" s="15">
        <v>0.1</v>
      </c>
      <c r="E293" s="15">
        <v>8</v>
      </c>
      <c r="F293" s="15">
        <v>2</v>
      </c>
      <c r="G293" s="15">
        <v>10</v>
      </c>
      <c r="H293" s="44">
        <f t="shared" si="4"/>
        <v>0.1</v>
      </c>
      <c r="I293" s="8"/>
      <c r="J293" s="8"/>
      <c r="K293" s="8"/>
      <c r="L293" s="10"/>
    </row>
    <row r="294" spans="1:12">
      <c r="A294" s="7"/>
      <c r="B294" s="15">
        <v>88</v>
      </c>
      <c r="C294" s="15">
        <v>90</v>
      </c>
      <c r="D294" s="15">
        <v>0.1</v>
      </c>
      <c r="E294" s="15">
        <v>10</v>
      </c>
      <c r="F294" s="15">
        <v>5</v>
      </c>
      <c r="G294" s="15">
        <v>15</v>
      </c>
      <c r="H294" s="44">
        <f t="shared" si="4"/>
        <v>6.6666666666666666E-2</v>
      </c>
      <c r="I294" s="8"/>
      <c r="J294" s="8"/>
      <c r="K294" s="8"/>
      <c r="L294" s="10"/>
    </row>
    <row r="295" spans="1:12">
      <c r="A295" s="7"/>
      <c r="B295" s="15">
        <v>88</v>
      </c>
      <c r="C295" s="15">
        <v>90</v>
      </c>
      <c r="D295" s="15">
        <v>0.1</v>
      </c>
      <c r="E295" s="15">
        <v>4</v>
      </c>
      <c r="F295" s="15">
        <v>1</v>
      </c>
      <c r="G295" s="15">
        <v>5</v>
      </c>
      <c r="H295" s="44">
        <f t="shared" si="4"/>
        <v>0.2</v>
      </c>
      <c r="I295" s="8"/>
      <c r="J295" s="8"/>
      <c r="K295" s="8"/>
      <c r="L295" s="10"/>
    </row>
    <row r="296" spans="1:12">
      <c r="A296" s="7"/>
      <c r="B296" s="15">
        <v>88</v>
      </c>
      <c r="C296" s="15">
        <v>90</v>
      </c>
      <c r="D296" s="15">
        <v>0.1</v>
      </c>
      <c r="E296" s="15">
        <v>24</v>
      </c>
      <c r="F296" s="15">
        <v>13</v>
      </c>
      <c r="G296" s="15">
        <v>37</v>
      </c>
      <c r="H296" s="44">
        <f t="shared" si="4"/>
        <v>2.7027027027027029E-2</v>
      </c>
      <c r="I296" s="8"/>
      <c r="J296" s="8"/>
      <c r="K296" s="8"/>
      <c r="L296" s="10"/>
    </row>
    <row r="297" spans="1:12">
      <c r="A297" s="7"/>
      <c r="B297" s="15">
        <v>88</v>
      </c>
      <c r="C297" s="15">
        <v>90</v>
      </c>
      <c r="D297" s="15">
        <v>0.2</v>
      </c>
      <c r="E297" s="15">
        <v>6</v>
      </c>
      <c r="F297" s="15">
        <v>1</v>
      </c>
      <c r="G297" s="15">
        <v>7</v>
      </c>
      <c r="H297" s="44">
        <f t="shared" si="4"/>
        <v>0.14285714285714285</v>
      </c>
      <c r="I297" s="8"/>
      <c r="J297" s="8"/>
      <c r="K297" s="8"/>
      <c r="L297" s="10"/>
    </row>
    <row r="298" spans="1:12">
      <c r="A298" s="7"/>
      <c r="B298" s="15">
        <v>88</v>
      </c>
      <c r="C298" s="15">
        <v>90</v>
      </c>
      <c r="D298" s="15">
        <v>0.1</v>
      </c>
      <c r="E298" s="15">
        <v>7</v>
      </c>
      <c r="F298" s="15">
        <v>1</v>
      </c>
      <c r="G298" s="15">
        <v>8</v>
      </c>
      <c r="H298" s="44">
        <f t="shared" si="4"/>
        <v>0.125</v>
      </c>
      <c r="I298" s="8"/>
      <c r="J298" s="8"/>
      <c r="K298" s="8"/>
      <c r="L298" s="10"/>
    </row>
    <row r="299" spans="1:12">
      <c r="A299" s="7"/>
      <c r="B299" s="15">
        <v>88</v>
      </c>
      <c r="C299" s="15">
        <v>90</v>
      </c>
      <c r="D299" s="15">
        <v>0.1</v>
      </c>
      <c r="E299" s="15">
        <v>14</v>
      </c>
      <c r="F299" s="15">
        <v>2</v>
      </c>
      <c r="G299" s="15">
        <v>16</v>
      </c>
      <c r="H299" s="44">
        <f t="shared" si="4"/>
        <v>6.25E-2</v>
      </c>
      <c r="I299" s="8"/>
      <c r="J299" s="8"/>
      <c r="K299" s="8"/>
      <c r="L299" s="10"/>
    </row>
    <row r="300" spans="1:12">
      <c r="A300" s="11"/>
      <c r="B300" s="19">
        <v>88</v>
      </c>
      <c r="C300" s="19">
        <v>90</v>
      </c>
      <c r="D300" s="19">
        <v>0.1</v>
      </c>
      <c r="E300" s="19">
        <v>37</v>
      </c>
      <c r="F300" s="19">
        <v>6</v>
      </c>
      <c r="G300" s="19">
        <v>43</v>
      </c>
      <c r="H300" s="46">
        <f t="shared" si="4"/>
        <v>2.3255813953488372E-2</v>
      </c>
      <c r="I300" s="12"/>
      <c r="J300" s="12"/>
      <c r="K300" s="12">
        <f>SUM(G273:G300)</f>
        <v>268</v>
      </c>
      <c r="L300" s="14">
        <f>SUM(E273:E300)</f>
        <v>185</v>
      </c>
    </row>
    <row r="301" spans="1:12">
      <c r="A301" s="3" t="s">
        <v>89</v>
      </c>
      <c r="B301" s="17">
        <v>89</v>
      </c>
      <c r="C301" s="17">
        <v>90</v>
      </c>
      <c r="D301" s="17">
        <v>0.1</v>
      </c>
      <c r="E301" s="17">
        <v>2</v>
      </c>
      <c r="F301" s="17">
        <v>0</v>
      </c>
      <c r="G301" s="17">
        <v>2</v>
      </c>
      <c r="H301" s="45">
        <f t="shared" si="4"/>
        <v>0.5</v>
      </c>
      <c r="I301" s="41">
        <f>8/141</f>
        <v>5.6737588652482268E-2</v>
      </c>
      <c r="J301" s="41">
        <f>10/141</f>
        <v>7.0921985815602842E-2</v>
      </c>
      <c r="K301" s="4">
        <v>409</v>
      </c>
      <c r="L301" s="6">
        <v>297</v>
      </c>
    </row>
    <row r="302" spans="1:12">
      <c r="A302" s="7" t="s">
        <v>14</v>
      </c>
      <c r="B302" s="15">
        <v>89</v>
      </c>
      <c r="C302" s="15">
        <v>90</v>
      </c>
      <c r="D302" s="15">
        <v>0.1</v>
      </c>
      <c r="E302" s="15">
        <v>8</v>
      </c>
      <c r="F302" s="15">
        <v>1</v>
      </c>
      <c r="G302" s="15">
        <v>9</v>
      </c>
      <c r="H302" s="44">
        <f t="shared" si="4"/>
        <v>0.1111111111111111</v>
      </c>
      <c r="I302" s="8"/>
      <c r="J302" s="8"/>
      <c r="K302" s="8"/>
      <c r="L302" s="10"/>
    </row>
    <row r="303" spans="1:12">
      <c r="A303" s="7"/>
      <c r="B303" s="15">
        <v>89</v>
      </c>
      <c r="C303" s="15">
        <v>90</v>
      </c>
      <c r="D303" s="15">
        <v>0.1</v>
      </c>
      <c r="E303" s="15">
        <v>9</v>
      </c>
      <c r="F303" s="15">
        <v>5</v>
      </c>
      <c r="G303" s="15">
        <v>14</v>
      </c>
      <c r="H303" s="44">
        <f t="shared" si="4"/>
        <v>7.1428571428571425E-2</v>
      </c>
      <c r="I303" s="8"/>
      <c r="J303" s="8"/>
      <c r="K303" s="8"/>
      <c r="L303" s="10"/>
    </row>
    <row r="304" spans="1:12">
      <c r="A304" s="7"/>
      <c r="B304" s="15">
        <v>89</v>
      </c>
      <c r="C304" s="15">
        <v>90</v>
      </c>
      <c r="D304" s="15">
        <v>0.2</v>
      </c>
      <c r="E304" s="15">
        <v>12</v>
      </c>
      <c r="F304" s="15">
        <v>8</v>
      </c>
      <c r="G304" s="15">
        <v>20</v>
      </c>
      <c r="H304" s="44">
        <f t="shared" si="4"/>
        <v>0.05</v>
      </c>
      <c r="I304" s="8"/>
      <c r="J304" s="8"/>
      <c r="K304" s="8"/>
      <c r="L304" s="10"/>
    </row>
    <row r="305" spans="1:12">
      <c r="A305" s="7"/>
      <c r="B305" s="15">
        <v>89</v>
      </c>
      <c r="C305" s="15">
        <v>90</v>
      </c>
      <c r="D305" s="15">
        <v>0.1</v>
      </c>
      <c r="E305" s="15">
        <v>49</v>
      </c>
      <c r="F305" s="15">
        <v>7</v>
      </c>
      <c r="G305" s="15">
        <v>56</v>
      </c>
      <c r="H305" s="44">
        <f t="shared" si="4"/>
        <v>1.7857142857142856E-2</v>
      </c>
      <c r="I305" s="8"/>
      <c r="J305" s="8"/>
      <c r="K305" s="8"/>
      <c r="L305" s="10"/>
    </row>
    <row r="306" spans="1:12">
      <c r="A306" s="7"/>
      <c r="B306" s="15">
        <v>89</v>
      </c>
      <c r="C306" s="15">
        <v>90</v>
      </c>
      <c r="D306" s="15">
        <v>0.1</v>
      </c>
      <c r="E306" s="15">
        <v>18</v>
      </c>
      <c r="F306" s="15">
        <v>2</v>
      </c>
      <c r="G306" s="15">
        <v>20</v>
      </c>
      <c r="H306" s="44">
        <f t="shared" si="4"/>
        <v>0.05</v>
      </c>
      <c r="I306" s="8"/>
      <c r="J306" s="8"/>
      <c r="K306" s="8"/>
      <c r="L306" s="10"/>
    </row>
    <row r="307" spans="1:12">
      <c r="A307" s="7"/>
      <c r="B307" s="15">
        <v>89</v>
      </c>
      <c r="C307" s="15">
        <v>90</v>
      </c>
      <c r="D307" s="15">
        <v>0.1</v>
      </c>
      <c r="E307" s="15">
        <v>11</v>
      </c>
      <c r="F307" s="15">
        <v>4</v>
      </c>
      <c r="G307" s="15">
        <v>15</v>
      </c>
      <c r="H307" s="44">
        <f t="shared" si="4"/>
        <v>6.6666666666666666E-2</v>
      </c>
      <c r="I307" s="8"/>
      <c r="J307" s="8"/>
      <c r="K307" s="8"/>
      <c r="L307" s="10"/>
    </row>
    <row r="308" spans="1:12">
      <c r="A308" s="11"/>
      <c r="B308" s="19">
        <v>89</v>
      </c>
      <c r="C308" s="19">
        <v>90</v>
      </c>
      <c r="D308" s="19">
        <v>0.2</v>
      </c>
      <c r="E308" s="19">
        <v>3</v>
      </c>
      <c r="F308" s="19">
        <v>2</v>
      </c>
      <c r="G308" s="19">
        <v>5</v>
      </c>
      <c r="H308" s="46">
        <f t="shared" si="4"/>
        <v>0.2</v>
      </c>
      <c r="I308" s="12"/>
      <c r="J308" s="12"/>
      <c r="K308" s="12">
        <f>SUM(G273:G308)</f>
        <v>409</v>
      </c>
      <c r="L308" s="14">
        <f>SUM(E273:E308)</f>
        <v>297</v>
      </c>
    </row>
    <row r="309" spans="1:12">
      <c r="A309" s="3" t="s">
        <v>90</v>
      </c>
      <c r="B309" s="17">
        <v>90</v>
      </c>
      <c r="C309" s="17">
        <v>94</v>
      </c>
      <c r="D309" s="17">
        <v>0.1</v>
      </c>
      <c r="E309" s="17">
        <v>1</v>
      </c>
      <c r="F309" s="17">
        <v>1</v>
      </c>
      <c r="G309" s="17">
        <v>2</v>
      </c>
      <c r="H309" s="45">
        <f t="shared" si="4"/>
        <v>0.5</v>
      </c>
      <c r="I309" s="41">
        <f>7/40</f>
        <v>0.17499999999999999</v>
      </c>
      <c r="J309" s="41">
        <f>9/40</f>
        <v>0.22500000000000001</v>
      </c>
      <c r="K309" s="4">
        <v>40</v>
      </c>
      <c r="L309" s="6">
        <v>25</v>
      </c>
    </row>
    <row r="310" spans="1:12">
      <c r="A310" s="7" t="s">
        <v>97</v>
      </c>
      <c r="B310" s="15">
        <v>90</v>
      </c>
      <c r="C310" s="15">
        <v>94</v>
      </c>
      <c r="D310" s="15">
        <v>0.2</v>
      </c>
      <c r="E310" s="15">
        <v>1</v>
      </c>
      <c r="F310" s="15">
        <v>1</v>
      </c>
      <c r="G310" s="15">
        <v>2</v>
      </c>
      <c r="H310" s="44">
        <f t="shared" si="4"/>
        <v>0.5</v>
      </c>
      <c r="I310" s="8"/>
      <c r="J310" s="8"/>
      <c r="K310" s="8"/>
      <c r="L310" s="10"/>
    </row>
    <row r="311" spans="1:12">
      <c r="A311" s="7"/>
      <c r="B311" s="15">
        <v>90</v>
      </c>
      <c r="C311" s="15">
        <v>94</v>
      </c>
      <c r="D311" s="15">
        <v>0.2</v>
      </c>
      <c r="E311" s="15">
        <v>9</v>
      </c>
      <c r="F311" s="15">
        <v>4</v>
      </c>
      <c r="G311" s="15">
        <v>13</v>
      </c>
      <c r="H311" s="44">
        <f t="shared" si="4"/>
        <v>7.6923076923076927E-2</v>
      </c>
      <c r="I311" s="8"/>
      <c r="J311" s="8"/>
      <c r="K311" s="8"/>
      <c r="L311" s="10"/>
    </row>
    <row r="312" spans="1:12">
      <c r="A312" s="7"/>
      <c r="B312" s="15">
        <v>90</v>
      </c>
      <c r="C312" s="15">
        <v>94</v>
      </c>
      <c r="D312" s="15">
        <v>0.1</v>
      </c>
      <c r="E312" s="15">
        <v>5</v>
      </c>
      <c r="F312" s="15">
        <v>7</v>
      </c>
      <c r="G312" s="15">
        <v>12</v>
      </c>
      <c r="H312" s="44">
        <f t="shared" si="4"/>
        <v>8.3333333333333329E-2</v>
      </c>
      <c r="I312" s="8"/>
      <c r="J312" s="8"/>
      <c r="K312" s="8"/>
      <c r="L312" s="10"/>
    </row>
    <row r="313" spans="1:12">
      <c r="A313" s="7"/>
      <c r="B313" s="15">
        <v>90</v>
      </c>
      <c r="C313" s="15">
        <v>94</v>
      </c>
      <c r="D313" s="15">
        <v>0.1</v>
      </c>
      <c r="E313" s="15">
        <v>3</v>
      </c>
      <c r="F313" s="15">
        <v>1</v>
      </c>
      <c r="G313" s="15">
        <v>4</v>
      </c>
      <c r="H313" s="44">
        <f t="shared" si="4"/>
        <v>0.25</v>
      </c>
      <c r="I313" s="8"/>
      <c r="J313" s="8"/>
      <c r="K313" s="8"/>
      <c r="L313" s="10"/>
    </row>
    <row r="314" spans="1:12">
      <c r="A314" s="7"/>
      <c r="B314" s="15">
        <v>90</v>
      </c>
      <c r="C314" s="15">
        <v>94</v>
      </c>
      <c r="D314" s="15">
        <v>0.1</v>
      </c>
      <c r="E314" s="15">
        <v>1</v>
      </c>
      <c r="F314" s="15">
        <v>0</v>
      </c>
      <c r="G314" s="15">
        <v>1</v>
      </c>
      <c r="H314" s="44">
        <f t="shared" si="4"/>
        <v>1</v>
      </c>
      <c r="I314" s="8"/>
      <c r="J314" s="8"/>
      <c r="K314" s="8"/>
      <c r="L314" s="10"/>
    </row>
    <row r="315" spans="1:12">
      <c r="A315" s="11"/>
      <c r="B315" s="19">
        <v>90</v>
      </c>
      <c r="C315" s="19">
        <v>94</v>
      </c>
      <c r="D315" s="19">
        <v>0.2</v>
      </c>
      <c r="E315" s="19">
        <v>5</v>
      </c>
      <c r="F315" s="19">
        <v>1</v>
      </c>
      <c r="G315" s="19">
        <v>6</v>
      </c>
      <c r="H315" s="46">
        <f t="shared" si="4"/>
        <v>0.16666666666666666</v>
      </c>
      <c r="I315" s="12"/>
      <c r="J315" s="12"/>
      <c r="K315" s="12">
        <f>SUM(G309:G315)</f>
        <v>40</v>
      </c>
      <c r="L315" s="14">
        <f>SUM(E309:E315)</f>
        <v>25</v>
      </c>
    </row>
    <row r="316" spans="1:12">
      <c r="A316" s="3" t="s">
        <v>90</v>
      </c>
      <c r="B316" s="17">
        <v>91</v>
      </c>
      <c r="C316" s="17">
        <v>94</v>
      </c>
      <c r="D316" s="17">
        <v>0.1</v>
      </c>
      <c r="E316" s="17">
        <v>2</v>
      </c>
      <c r="F316" s="17">
        <v>1</v>
      </c>
      <c r="G316" s="17">
        <v>3</v>
      </c>
      <c r="H316" s="45">
        <f t="shared" si="4"/>
        <v>0.33333333333333331</v>
      </c>
      <c r="I316" s="41">
        <f>8/103</f>
        <v>7.7669902912621352E-2</v>
      </c>
      <c r="J316" s="41">
        <f>11/103</f>
        <v>0.10679611650485436</v>
      </c>
      <c r="K316" s="4">
        <v>143</v>
      </c>
      <c r="L316" s="6">
        <v>92</v>
      </c>
    </row>
    <row r="317" spans="1:12">
      <c r="A317" s="7" t="s">
        <v>12</v>
      </c>
      <c r="B317" s="15">
        <v>91</v>
      </c>
      <c r="C317" s="15">
        <v>94</v>
      </c>
      <c r="D317" s="15">
        <v>0.1</v>
      </c>
      <c r="E317" s="15">
        <v>7</v>
      </c>
      <c r="F317" s="15">
        <v>3</v>
      </c>
      <c r="G317" s="15">
        <v>10</v>
      </c>
      <c r="H317" s="44">
        <f t="shared" si="4"/>
        <v>0.1</v>
      </c>
      <c r="I317" s="8"/>
      <c r="J317" s="8"/>
      <c r="K317" s="8"/>
      <c r="L317" s="10"/>
    </row>
    <row r="318" spans="1:12">
      <c r="A318" s="7"/>
      <c r="B318" s="15">
        <v>91</v>
      </c>
      <c r="C318" s="15">
        <v>94</v>
      </c>
      <c r="D318" s="15">
        <v>0.3</v>
      </c>
      <c r="E318" s="15">
        <v>6</v>
      </c>
      <c r="F318" s="15">
        <v>5</v>
      </c>
      <c r="G318" s="15">
        <v>11</v>
      </c>
      <c r="H318" s="44">
        <f t="shared" si="4"/>
        <v>9.0909090909090912E-2</v>
      </c>
      <c r="I318" s="8"/>
      <c r="J318" s="8"/>
      <c r="K318" s="8"/>
      <c r="L318" s="10"/>
    </row>
    <row r="319" spans="1:12">
      <c r="A319" s="7"/>
      <c r="B319" s="15">
        <v>91</v>
      </c>
      <c r="C319" s="15">
        <v>94</v>
      </c>
      <c r="D319" s="15">
        <v>0.1</v>
      </c>
      <c r="E319" s="15">
        <v>11</v>
      </c>
      <c r="F319" s="15">
        <v>10</v>
      </c>
      <c r="G319" s="15">
        <v>21</v>
      </c>
      <c r="H319" s="44">
        <f t="shared" si="4"/>
        <v>4.7619047619047616E-2</v>
      </c>
      <c r="I319" s="8"/>
      <c r="J319" s="8"/>
      <c r="K319" s="8"/>
      <c r="L319" s="10"/>
    </row>
    <row r="320" spans="1:12">
      <c r="A320" s="7"/>
      <c r="B320" s="15">
        <v>91</v>
      </c>
      <c r="C320" s="15">
        <v>94</v>
      </c>
      <c r="D320" s="15">
        <v>0.1</v>
      </c>
      <c r="E320" s="15">
        <v>3</v>
      </c>
      <c r="F320" s="15">
        <v>1</v>
      </c>
      <c r="G320" s="15">
        <v>4</v>
      </c>
      <c r="H320" s="44">
        <f t="shared" si="4"/>
        <v>0.25</v>
      </c>
      <c r="I320" s="8"/>
      <c r="J320" s="8"/>
      <c r="K320" s="8"/>
      <c r="L320" s="10"/>
    </row>
    <row r="321" spans="1:12">
      <c r="A321" s="7"/>
      <c r="B321" s="15">
        <v>91</v>
      </c>
      <c r="C321" s="15">
        <v>94</v>
      </c>
      <c r="D321" s="15">
        <v>0.1</v>
      </c>
      <c r="E321" s="15">
        <v>20</v>
      </c>
      <c r="F321" s="15">
        <v>10</v>
      </c>
      <c r="G321" s="15">
        <v>30</v>
      </c>
      <c r="H321" s="44">
        <f t="shared" si="4"/>
        <v>3.3333333333333333E-2</v>
      </c>
      <c r="I321" s="8"/>
      <c r="J321" s="8"/>
      <c r="K321" s="8"/>
      <c r="L321" s="10"/>
    </row>
    <row r="322" spans="1:12">
      <c r="A322" s="7"/>
      <c r="B322" s="15">
        <v>91</v>
      </c>
      <c r="C322" s="15">
        <v>94</v>
      </c>
      <c r="D322" s="15">
        <v>0.1</v>
      </c>
      <c r="E322" s="15">
        <v>14</v>
      </c>
      <c r="F322" s="15">
        <v>6</v>
      </c>
      <c r="G322" s="15">
        <v>20</v>
      </c>
      <c r="H322" s="44">
        <f t="shared" ref="H322:H385" si="5">1/G322</f>
        <v>0.05</v>
      </c>
      <c r="I322" s="8"/>
      <c r="J322" s="8"/>
      <c r="K322" s="8"/>
      <c r="L322" s="10"/>
    </row>
    <row r="323" spans="1:12">
      <c r="A323" s="11"/>
      <c r="B323" s="19">
        <v>91</v>
      </c>
      <c r="C323" s="19">
        <v>94</v>
      </c>
      <c r="D323" s="19">
        <v>0.2</v>
      </c>
      <c r="E323" s="19">
        <v>4</v>
      </c>
      <c r="F323" s="19">
        <v>0</v>
      </c>
      <c r="G323" s="19">
        <v>4</v>
      </c>
      <c r="H323" s="46">
        <f t="shared" si="5"/>
        <v>0.25</v>
      </c>
      <c r="I323" s="12"/>
      <c r="J323" s="12"/>
      <c r="K323" s="12">
        <f>SUM(G309:G323)</f>
        <v>143</v>
      </c>
      <c r="L323" s="14">
        <f>SUM(E309:E323)</f>
        <v>92</v>
      </c>
    </row>
    <row r="324" spans="1:12">
      <c r="A324" s="3" t="s">
        <v>90</v>
      </c>
      <c r="B324" s="17">
        <v>92</v>
      </c>
      <c r="C324" s="17">
        <v>94</v>
      </c>
      <c r="D324" s="17">
        <v>0.1</v>
      </c>
      <c r="E324" s="17">
        <v>24</v>
      </c>
      <c r="F324" s="17">
        <v>5</v>
      </c>
      <c r="G324" s="17">
        <v>29</v>
      </c>
      <c r="H324" s="45">
        <f t="shared" si="5"/>
        <v>3.4482758620689655E-2</v>
      </c>
      <c r="I324" s="41">
        <f>8/121</f>
        <v>6.6115702479338845E-2</v>
      </c>
      <c r="J324" s="41">
        <f>9/121</f>
        <v>7.43801652892562E-2</v>
      </c>
      <c r="K324" s="4">
        <v>264</v>
      </c>
      <c r="L324" s="6">
        <v>183</v>
      </c>
    </row>
    <row r="325" spans="1:12">
      <c r="A325" s="7" t="s">
        <v>13</v>
      </c>
      <c r="B325" s="15">
        <v>92</v>
      </c>
      <c r="C325" s="15">
        <v>94</v>
      </c>
      <c r="D325" s="15">
        <v>0.1</v>
      </c>
      <c r="E325" s="15">
        <v>5</v>
      </c>
      <c r="F325" s="15">
        <v>1</v>
      </c>
      <c r="G325" s="15">
        <v>6</v>
      </c>
      <c r="H325" s="44">
        <f t="shared" si="5"/>
        <v>0.16666666666666666</v>
      </c>
      <c r="I325" s="8"/>
      <c r="J325" s="8"/>
      <c r="K325" s="8"/>
      <c r="L325" s="10"/>
    </row>
    <row r="326" spans="1:12">
      <c r="A326" s="7"/>
      <c r="B326" s="15">
        <v>92</v>
      </c>
      <c r="C326" s="15">
        <v>94</v>
      </c>
      <c r="D326" s="15">
        <v>0.1</v>
      </c>
      <c r="E326" s="15">
        <v>3</v>
      </c>
      <c r="F326" s="15">
        <v>1</v>
      </c>
      <c r="G326" s="15">
        <v>4</v>
      </c>
      <c r="H326" s="44">
        <f t="shared" si="5"/>
        <v>0.25</v>
      </c>
      <c r="I326" s="8"/>
      <c r="J326" s="8"/>
      <c r="K326" s="8"/>
      <c r="L326" s="10"/>
    </row>
    <row r="327" spans="1:12">
      <c r="A327" s="7"/>
      <c r="B327" s="15">
        <v>92</v>
      </c>
      <c r="C327" s="15">
        <v>94</v>
      </c>
      <c r="D327" s="15">
        <v>0.2</v>
      </c>
      <c r="E327" s="15">
        <v>3</v>
      </c>
      <c r="F327" s="15">
        <v>3</v>
      </c>
      <c r="G327" s="15">
        <v>6</v>
      </c>
      <c r="H327" s="44">
        <f t="shared" si="5"/>
        <v>0.16666666666666666</v>
      </c>
      <c r="I327" s="8"/>
      <c r="J327" s="8"/>
      <c r="K327" s="8"/>
      <c r="L327" s="10"/>
    </row>
    <row r="328" spans="1:12">
      <c r="A328" s="7"/>
      <c r="B328" s="15">
        <v>92</v>
      </c>
      <c r="C328" s="15">
        <v>94</v>
      </c>
      <c r="D328" s="15">
        <v>0.1</v>
      </c>
      <c r="E328" s="15">
        <v>3</v>
      </c>
      <c r="F328" s="15">
        <v>1</v>
      </c>
      <c r="G328" s="15">
        <v>4</v>
      </c>
      <c r="H328" s="44">
        <f t="shared" si="5"/>
        <v>0.25</v>
      </c>
      <c r="I328" s="8"/>
      <c r="J328" s="8"/>
      <c r="K328" s="8"/>
      <c r="L328" s="10"/>
    </row>
    <row r="329" spans="1:12">
      <c r="A329" s="7"/>
      <c r="B329" s="15">
        <v>92</v>
      </c>
      <c r="C329" s="15">
        <v>94</v>
      </c>
      <c r="D329" s="15">
        <v>0.1</v>
      </c>
      <c r="E329" s="15">
        <v>44</v>
      </c>
      <c r="F329" s="15">
        <v>17</v>
      </c>
      <c r="G329" s="15">
        <v>61</v>
      </c>
      <c r="H329" s="44">
        <f t="shared" si="5"/>
        <v>1.6393442622950821E-2</v>
      </c>
      <c r="I329" s="8"/>
      <c r="J329" s="8"/>
      <c r="K329" s="8"/>
      <c r="L329" s="10"/>
    </row>
    <row r="330" spans="1:12">
      <c r="A330" s="7"/>
      <c r="B330" s="15">
        <v>92</v>
      </c>
      <c r="C330" s="15">
        <v>94</v>
      </c>
      <c r="D330" s="15">
        <v>0.1</v>
      </c>
      <c r="E330" s="15">
        <v>3</v>
      </c>
      <c r="F330" s="15">
        <v>0</v>
      </c>
      <c r="G330" s="15">
        <v>3</v>
      </c>
      <c r="H330" s="44">
        <f t="shared" si="5"/>
        <v>0.33333333333333331</v>
      </c>
      <c r="I330" s="8"/>
      <c r="J330" s="8"/>
      <c r="K330" s="8"/>
      <c r="L330" s="10"/>
    </row>
    <row r="331" spans="1:12">
      <c r="A331" s="11"/>
      <c r="B331" s="19">
        <v>92</v>
      </c>
      <c r="C331" s="19">
        <v>94</v>
      </c>
      <c r="D331" s="19">
        <v>0.1</v>
      </c>
      <c r="E331" s="19">
        <v>6</v>
      </c>
      <c r="F331" s="19">
        <v>2</v>
      </c>
      <c r="G331" s="19">
        <v>8</v>
      </c>
      <c r="H331" s="46">
        <f t="shared" si="5"/>
        <v>0.125</v>
      </c>
      <c r="I331" s="12"/>
      <c r="J331" s="12"/>
      <c r="K331" s="12">
        <f>SUM(G309:G331)</f>
        <v>264</v>
      </c>
      <c r="L331" s="14">
        <f>SUM(E309:E331)</f>
        <v>183</v>
      </c>
    </row>
    <row r="332" spans="1:12">
      <c r="A332" s="3" t="s">
        <v>90</v>
      </c>
      <c r="B332" s="17">
        <v>93</v>
      </c>
      <c r="C332" s="17">
        <v>94</v>
      </c>
      <c r="D332" s="17">
        <v>0.1</v>
      </c>
      <c r="E332" s="17">
        <v>2</v>
      </c>
      <c r="F332" s="17">
        <v>0</v>
      </c>
      <c r="G332" s="17">
        <v>2</v>
      </c>
      <c r="H332" s="45">
        <f t="shared" si="5"/>
        <v>0.5</v>
      </c>
      <c r="I332" s="41">
        <f>9/478</f>
        <v>1.8828451882845189E-2</v>
      </c>
      <c r="J332" s="41">
        <f>10/478</f>
        <v>2.0920502092050208E-2</v>
      </c>
      <c r="K332" s="4">
        <v>742</v>
      </c>
      <c r="L332" s="6">
        <v>583</v>
      </c>
    </row>
    <row r="333" spans="1:12">
      <c r="A333" s="7" t="s">
        <v>14</v>
      </c>
      <c r="B333" s="15">
        <v>93</v>
      </c>
      <c r="C333" s="15">
        <v>94</v>
      </c>
      <c r="D333" s="15">
        <v>0.1</v>
      </c>
      <c r="E333" s="15">
        <v>16</v>
      </c>
      <c r="F333" s="15">
        <v>1</v>
      </c>
      <c r="G333" s="15">
        <v>17</v>
      </c>
      <c r="H333" s="44">
        <f t="shared" si="5"/>
        <v>5.8823529411764705E-2</v>
      </c>
      <c r="I333" s="8"/>
      <c r="J333" s="8"/>
      <c r="K333" s="8"/>
      <c r="L333" s="10"/>
    </row>
    <row r="334" spans="1:12">
      <c r="A334" s="7"/>
      <c r="B334" s="15">
        <v>93</v>
      </c>
      <c r="C334" s="15">
        <v>94</v>
      </c>
      <c r="D334" s="15">
        <v>0.1</v>
      </c>
      <c r="E334" s="15">
        <v>50</v>
      </c>
      <c r="F334" s="15">
        <v>17</v>
      </c>
      <c r="G334" s="15">
        <v>67</v>
      </c>
      <c r="H334" s="44">
        <f t="shared" si="5"/>
        <v>1.4925373134328358E-2</v>
      </c>
      <c r="I334" s="8"/>
      <c r="J334" s="8"/>
      <c r="K334" s="8"/>
      <c r="L334" s="10"/>
    </row>
    <row r="335" spans="1:12">
      <c r="A335" s="7"/>
      <c r="B335" s="15">
        <v>93</v>
      </c>
      <c r="C335" s="15">
        <v>94</v>
      </c>
      <c r="D335" s="15">
        <v>0.1</v>
      </c>
      <c r="E335" s="15">
        <v>5</v>
      </c>
      <c r="F335" s="15">
        <v>1</v>
      </c>
      <c r="G335" s="15">
        <v>6</v>
      </c>
      <c r="H335" s="44">
        <f t="shared" si="5"/>
        <v>0.16666666666666666</v>
      </c>
      <c r="I335" s="8"/>
      <c r="J335" s="8"/>
      <c r="K335" s="8"/>
      <c r="L335" s="10"/>
    </row>
    <row r="336" spans="1:12">
      <c r="A336" s="7"/>
      <c r="B336" s="15">
        <v>93</v>
      </c>
      <c r="C336" s="15">
        <v>94</v>
      </c>
      <c r="D336" s="15">
        <v>0.2</v>
      </c>
      <c r="E336" s="15">
        <v>14</v>
      </c>
      <c r="F336" s="15">
        <v>3</v>
      </c>
      <c r="G336" s="15">
        <v>17</v>
      </c>
      <c r="H336" s="44">
        <f t="shared" si="5"/>
        <v>5.8823529411764705E-2</v>
      </c>
      <c r="I336" s="8"/>
      <c r="J336" s="8"/>
      <c r="K336" s="8"/>
      <c r="L336" s="10"/>
    </row>
    <row r="337" spans="1:12">
      <c r="A337" s="7"/>
      <c r="B337" s="15">
        <v>93</v>
      </c>
      <c r="C337" s="15">
        <v>94</v>
      </c>
      <c r="D337" s="15">
        <v>0.1</v>
      </c>
      <c r="E337" s="15">
        <v>71</v>
      </c>
      <c r="F337" s="15">
        <v>12</v>
      </c>
      <c r="G337" s="15">
        <v>83</v>
      </c>
      <c r="H337" s="44">
        <f t="shared" si="5"/>
        <v>1.2048192771084338E-2</v>
      </c>
      <c r="I337" s="8"/>
      <c r="J337" s="8"/>
      <c r="K337" s="8"/>
      <c r="L337" s="10"/>
    </row>
    <row r="338" spans="1:12">
      <c r="A338" s="7"/>
      <c r="B338" s="15">
        <v>93</v>
      </c>
      <c r="C338" s="15">
        <v>94</v>
      </c>
      <c r="D338" s="15">
        <v>0.1</v>
      </c>
      <c r="E338" s="15">
        <v>7</v>
      </c>
      <c r="F338" s="15">
        <v>2</v>
      </c>
      <c r="G338" s="15">
        <v>9</v>
      </c>
      <c r="H338" s="44">
        <f t="shared" si="5"/>
        <v>0.1111111111111111</v>
      </c>
      <c r="I338" s="8"/>
      <c r="J338" s="8"/>
      <c r="K338" s="8"/>
      <c r="L338" s="10"/>
    </row>
    <row r="339" spans="1:12">
      <c r="A339" s="7"/>
      <c r="B339" s="15">
        <v>93</v>
      </c>
      <c r="C339" s="15">
        <v>94</v>
      </c>
      <c r="D339" s="15">
        <v>0.1</v>
      </c>
      <c r="E339" s="15">
        <v>13</v>
      </c>
      <c r="F339" s="15">
        <v>5</v>
      </c>
      <c r="G339" s="15">
        <v>18</v>
      </c>
      <c r="H339" s="44">
        <f t="shared" si="5"/>
        <v>5.5555555555555552E-2</v>
      </c>
      <c r="I339" s="8"/>
      <c r="J339" s="8"/>
      <c r="K339" s="8"/>
      <c r="L339" s="10"/>
    </row>
    <row r="340" spans="1:12">
      <c r="A340" s="11"/>
      <c r="B340" s="19">
        <v>93</v>
      </c>
      <c r="C340" s="19">
        <v>94</v>
      </c>
      <c r="D340" s="19">
        <v>0.1</v>
      </c>
      <c r="E340" s="19">
        <v>222</v>
      </c>
      <c r="F340" s="19">
        <v>37</v>
      </c>
      <c r="G340" s="19">
        <v>259</v>
      </c>
      <c r="H340" s="46">
        <f t="shared" si="5"/>
        <v>3.8610038610038611E-3</v>
      </c>
      <c r="I340" s="12"/>
      <c r="J340" s="12"/>
      <c r="K340" s="12">
        <f>SUM(G309:G340)</f>
        <v>742</v>
      </c>
      <c r="L340" s="14">
        <f>SUM(E309:E340)</f>
        <v>583</v>
      </c>
    </row>
    <row r="341" spans="1:12">
      <c r="A341" s="3" t="s">
        <v>91</v>
      </c>
      <c r="B341" s="17">
        <v>94</v>
      </c>
      <c r="C341" s="17">
        <v>97</v>
      </c>
      <c r="D341" s="17">
        <v>0.1</v>
      </c>
      <c r="E341" s="17">
        <v>3</v>
      </c>
      <c r="F341" s="17">
        <v>1</v>
      </c>
      <c r="G341" s="17">
        <v>4</v>
      </c>
      <c r="H341" s="45">
        <f t="shared" si="5"/>
        <v>0.25</v>
      </c>
      <c r="I341" s="41">
        <f>8/186</f>
        <v>4.3010752688172046E-2</v>
      </c>
      <c r="J341" s="41">
        <f>11/186</f>
        <v>5.9139784946236562E-2</v>
      </c>
      <c r="K341" s="4">
        <v>186</v>
      </c>
      <c r="L341" s="6">
        <v>115</v>
      </c>
    </row>
    <row r="342" spans="1:12">
      <c r="A342" s="7" t="s">
        <v>12</v>
      </c>
      <c r="B342" s="15">
        <v>94</v>
      </c>
      <c r="C342" s="15">
        <v>97</v>
      </c>
      <c r="D342" s="15">
        <v>0.2</v>
      </c>
      <c r="E342" s="15">
        <v>31</v>
      </c>
      <c r="F342" s="15">
        <v>10</v>
      </c>
      <c r="G342" s="15">
        <v>41</v>
      </c>
      <c r="H342" s="44">
        <f t="shared" si="5"/>
        <v>2.4390243902439025E-2</v>
      </c>
      <c r="I342" s="8"/>
      <c r="J342" s="8"/>
      <c r="K342" s="8"/>
      <c r="L342" s="10"/>
    </row>
    <row r="343" spans="1:12">
      <c r="A343" s="7"/>
      <c r="B343" s="15">
        <v>94</v>
      </c>
      <c r="C343" s="15">
        <v>97</v>
      </c>
      <c r="D343" s="15">
        <v>0.2</v>
      </c>
      <c r="E343" s="15">
        <v>18</v>
      </c>
      <c r="F343" s="15">
        <v>15</v>
      </c>
      <c r="G343" s="15">
        <v>33</v>
      </c>
      <c r="H343" s="44">
        <f t="shared" si="5"/>
        <v>3.0303030303030304E-2</v>
      </c>
      <c r="I343" s="8"/>
      <c r="J343" s="8"/>
      <c r="K343" s="8"/>
      <c r="L343" s="10"/>
    </row>
    <row r="344" spans="1:12">
      <c r="A344" s="7"/>
      <c r="B344" s="15">
        <v>94</v>
      </c>
      <c r="C344" s="15">
        <v>97</v>
      </c>
      <c r="D344" s="15">
        <v>0.1</v>
      </c>
      <c r="E344" s="15">
        <v>2</v>
      </c>
      <c r="F344" s="15">
        <v>0</v>
      </c>
      <c r="G344" s="15">
        <v>2</v>
      </c>
      <c r="H344" s="44">
        <f t="shared" si="5"/>
        <v>0.5</v>
      </c>
      <c r="I344" s="8"/>
      <c r="J344" s="8"/>
      <c r="K344" s="8"/>
      <c r="L344" s="10"/>
    </row>
    <row r="345" spans="1:12">
      <c r="A345" s="7"/>
      <c r="B345" s="15">
        <v>94</v>
      </c>
      <c r="C345" s="15">
        <v>97</v>
      </c>
      <c r="D345" s="15">
        <v>0.1</v>
      </c>
      <c r="E345" s="15">
        <v>4</v>
      </c>
      <c r="F345" s="15">
        <v>4</v>
      </c>
      <c r="G345" s="15">
        <v>8</v>
      </c>
      <c r="H345" s="44">
        <f t="shared" si="5"/>
        <v>0.125</v>
      </c>
      <c r="I345" s="8"/>
      <c r="J345" s="8"/>
      <c r="K345" s="8"/>
      <c r="L345" s="10"/>
    </row>
    <row r="346" spans="1:12">
      <c r="A346" s="7"/>
      <c r="B346" s="15">
        <v>94</v>
      </c>
      <c r="C346" s="15">
        <v>97</v>
      </c>
      <c r="D346" s="15">
        <v>0.1</v>
      </c>
      <c r="E346" s="15">
        <v>4</v>
      </c>
      <c r="F346" s="15">
        <v>4</v>
      </c>
      <c r="G346" s="15">
        <v>8</v>
      </c>
      <c r="H346" s="44">
        <f t="shared" si="5"/>
        <v>0.125</v>
      </c>
      <c r="I346" s="8"/>
      <c r="J346" s="8"/>
      <c r="K346" s="8"/>
      <c r="L346" s="10"/>
    </row>
    <row r="347" spans="1:12">
      <c r="A347" s="7"/>
      <c r="B347" s="15">
        <v>94</v>
      </c>
      <c r="C347" s="15">
        <v>97</v>
      </c>
      <c r="D347" s="15">
        <v>0.1</v>
      </c>
      <c r="E347" s="15">
        <v>14</v>
      </c>
      <c r="F347" s="15">
        <v>9</v>
      </c>
      <c r="G347" s="15">
        <v>23</v>
      </c>
      <c r="H347" s="44">
        <f t="shared" si="5"/>
        <v>4.3478260869565216E-2</v>
      </c>
      <c r="I347" s="8"/>
      <c r="J347" s="8"/>
      <c r="K347" s="8"/>
      <c r="L347" s="10"/>
    </row>
    <row r="348" spans="1:12">
      <c r="A348" s="11"/>
      <c r="B348" s="19">
        <v>94</v>
      </c>
      <c r="C348" s="19">
        <v>97</v>
      </c>
      <c r="D348" s="19">
        <v>0.2</v>
      </c>
      <c r="E348" s="19">
        <v>39</v>
      </c>
      <c r="F348" s="19">
        <v>28</v>
      </c>
      <c r="G348" s="19">
        <v>67</v>
      </c>
      <c r="H348" s="46">
        <f t="shared" si="5"/>
        <v>1.4925373134328358E-2</v>
      </c>
      <c r="I348" s="12"/>
      <c r="J348" s="12"/>
      <c r="K348" s="12">
        <f>SUM(G341:G348)</f>
        <v>186</v>
      </c>
      <c r="L348" s="14">
        <f>SUM(E341:E348)</f>
        <v>115</v>
      </c>
    </row>
    <row r="349" spans="1:12">
      <c r="A349" s="3" t="s">
        <v>91</v>
      </c>
      <c r="B349" s="17">
        <v>95</v>
      </c>
      <c r="C349" s="17">
        <v>97</v>
      </c>
      <c r="D349" s="17">
        <v>0.2</v>
      </c>
      <c r="E349" s="17">
        <v>21</v>
      </c>
      <c r="F349" s="17">
        <v>8</v>
      </c>
      <c r="G349" s="17">
        <v>29</v>
      </c>
      <c r="H349" s="45">
        <f t="shared" si="5"/>
        <v>3.4482758620689655E-2</v>
      </c>
      <c r="I349" s="41">
        <f>7/116</f>
        <v>6.0344827586206899E-2</v>
      </c>
      <c r="J349" s="41">
        <f>9/116</f>
        <v>7.7586206896551727E-2</v>
      </c>
      <c r="K349" s="4">
        <v>302</v>
      </c>
      <c r="L349" s="6">
        <v>204</v>
      </c>
    </row>
    <row r="350" spans="1:12">
      <c r="A350" s="7" t="s">
        <v>13</v>
      </c>
      <c r="B350" s="15">
        <v>95</v>
      </c>
      <c r="C350" s="15">
        <v>97</v>
      </c>
      <c r="D350" s="15">
        <v>0.2</v>
      </c>
      <c r="E350" s="15">
        <v>8</v>
      </c>
      <c r="F350" s="15">
        <v>4</v>
      </c>
      <c r="G350" s="15">
        <v>12</v>
      </c>
      <c r="H350" s="44">
        <f t="shared" si="5"/>
        <v>8.3333333333333329E-2</v>
      </c>
      <c r="I350" s="8"/>
      <c r="J350" s="8"/>
      <c r="K350" s="8"/>
      <c r="L350" s="10"/>
    </row>
    <row r="351" spans="1:12">
      <c r="A351" s="7"/>
      <c r="B351" s="15">
        <v>95</v>
      </c>
      <c r="C351" s="15">
        <v>97</v>
      </c>
      <c r="D351" s="15">
        <v>0.1</v>
      </c>
      <c r="E351" s="15">
        <v>18</v>
      </c>
      <c r="F351" s="15">
        <v>7</v>
      </c>
      <c r="G351" s="15">
        <v>25</v>
      </c>
      <c r="H351" s="44">
        <f t="shared" si="5"/>
        <v>0.04</v>
      </c>
      <c r="I351" s="8"/>
      <c r="J351" s="8"/>
      <c r="K351" s="8"/>
      <c r="L351" s="10"/>
    </row>
    <row r="352" spans="1:12">
      <c r="A352" s="7"/>
      <c r="B352" s="15">
        <v>95</v>
      </c>
      <c r="C352" s="15">
        <v>97</v>
      </c>
      <c r="D352" s="15">
        <v>0.1</v>
      </c>
      <c r="E352" s="15">
        <v>12</v>
      </c>
      <c r="F352" s="15">
        <v>0</v>
      </c>
      <c r="G352" s="15">
        <v>12</v>
      </c>
      <c r="H352" s="44">
        <f t="shared" si="5"/>
        <v>8.3333333333333329E-2</v>
      </c>
      <c r="I352" s="8"/>
      <c r="J352" s="8"/>
      <c r="K352" s="8"/>
      <c r="L352" s="10"/>
    </row>
    <row r="353" spans="1:12">
      <c r="A353" s="7"/>
      <c r="B353" s="15">
        <v>95</v>
      </c>
      <c r="C353" s="15">
        <v>97</v>
      </c>
      <c r="D353" s="15">
        <v>0.1</v>
      </c>
      <c r="E353" s="15">
        <v>14</v>
      </c>
      <c r="F353" s="15">
        <v>3</v>
      </c>
      <c r="G353" s="15">
        <v>17</v>
      </c>
      <c r="H353" s="44">
        <f t="shared" si="5"/>
        <v>5.8823529411764705E-2</v>
      </c>
      <c r="I353" s="8"/>
      <c r="J353" s="8"/>
      <c r="K353" s="8"/>
      <c r="L353" s="10"/>
    </row>
    <row r="354" spans="1:12">
      <c r="A354" s="7"/>
      <c r="B354" s="15">
        <v>95</v>
      </c>
      <c r="C354" s="15">
        <v>97</v>
      </c>
      <c r="D354" s="15">
        <v>0.1</v>
      </c>
      <c r="E354" s="15">
        <v>9</v>
      </c>
      <c r="F354" s="15">
        <v>3</v>
      </c>
      <c r="G354" s="15">
        <v>12</v>
      </c>
      <c r="H354" s="44">
        <f t="shared" si="5"/>
        <v>8.3333333333333329E-2</v>
      </c>
      <c r="I354" s="8"/>
      <c r="J354" s="8"/>
      <c r="K354" s="8"/>
      <c r="L354" s="10"/>
    </row>
    <row r="355" spans="1:12">
      <c r="A355" s="11"/>
      <c r="B355" s="19">
        <v>95</v>
      </c>
      <c r="C355" s="19">
        <v>97</v>
      </c>
      <c r="D355" s="19">
        <v>0.1</v>
      </c>
      <c r="E355" s="19">
        <v>7</v>
      </c>
      <c r="F355" s="19">
        <v>2</v>
      </c>
      <c r="G355" s="19">
        <v>9</v>
      </c>
      <c r="H355" s="46">
        <f t="shared" si="5"/>
        <v>0.1111111111111111</v>
      </c>
      <c r="I355" s="12"/>
      <c r="J355" s="12"/>
      <c r="K355" s="12">
        <f>SUM(G341:G355)</f>
        <v>302</v>
      </c>
      <c r="L355" s="14">
        <f>SUM(E341:E355)</f>
        <v>204</v>
      </c>
    </row>
    <row r="356" spans="1:12">
      <c r="A356" s="3" t="s">
        <v>91</v>
      </c>
      <c r="B356" s="17">
        <v>96</v>
      </c>
      <c r="C356" s="17">
        <v>97</v>
      </c>
      <c r="D356" s="17">
        <v>0.2</v>
      </c>
      <c r="E356" s="17">
        <v>53</v>
      </c>
      <c r="F356" s="17">
        <v>5</v>
      </c>
      <c r="G356" s="17">
        <v>58</v>
      </c>
      <c r="H356" s="45">
        <f t="shared" si="5"/>
        <v>1.7241379310344827E-2</v>
      </c>
      <c r="I356" s="41">
        <f>7/332</f>
        <v>2.1084337349397589E-2</v>
      </c>
      <c r="J356" s="41">
        <f>10/332</f>
        <v>3.0120481927710843E-2</v>
      </c>
      <c r="K356" s="4">
        <v>634</v>
      </c>
      <c r="L356" s="6">
        <v>486</v>
      </c>
    </row>
    <row r="357" spans="1:12">
      <c r="A357" s="7" t="s">
        <v>14</v>
      </c>
      <c r="B357" s="15">
        <v>96</v>
      </c>
      <c r="C357" s="15">
        <v>97</v>
      </c>
      <c r="D357" s="15">
        <v>0.1</v>
      </c>
      <c r="E357" s="15">
        <v>49</v>
      </c>
      <c r="F357" s="15">
        <v>16</v>
      </c>
      <c r="G357" s="15">
        <v>65</v>
      </c>
      <c r="H357" s="44">
        <f t="shared" si="5"/>
        <v>1.5384615384615385E-2</v>
      </c>
      <c r="I357" s="8"/>
      <c r="J357" s="8"/>
      <c r="K357" s="8"/>
      <c r="L357" s="10"/>
    </row>
    <row r="358" spans="1:12">
      <c r="A358" s="7"/>
      <c r="B358" s="15">
        <v>96</v>
      </c>
      <c r="C358" s="15">
        <v>97</v>
      </c>
      <c r="D358" s="15">
        <v>0.2</v>
      </c>
      <c r="E358" s="15">
        <v>88</v>
      </c>
      <c r="F358" s="15">
        <v>12</v>
      </c>
      <c r="G358" s="15">
        <v>100</v>
      </c>
      <c r="H358" s="44">
        <f t="shared" si="5"/>
        <v>0.01</v>
      </c>
      <c r="I358" s="8"/>
      <c r="J358" s="8"/>
      <c r="K358" s="8"/>
      <c r="L358" s="10"/>
    </row>
    <row r="359" spans="1:12">
      <c r="A359" s="7"/>
      <c r="B359" s="15">
        <v>96</v>
      </c>
      <c r="C359" s="15">
        <v>97</v>
      </c>
      <c r="D359" s="15">
        <v>0.1</v>
      </c>
      <c r="E359" s="15">
        <v>35</v>
      </c>
      <c r="F359" s="15">
        <v>8</v>
      </c>
      <c r="G359" s="15">
        <v>43</v>
      </c>
      <c r="H359" s="44">
        <f t="shared" si="5"/>
        <v>2.3255813953488372E-2</v>
      </c>
      <c r="I359" s="8"/>
      <c r="J359" s="8"/>
      <c r="K359" s="8"/>
      <c r="L359" s="10"/>
    </row>
    <row r="360" spans="1:12">
      <c r="A360" s="7"/>
      <c r="B360" s="15">
        <v>96</v>
      </c>
      <c r="C360" s="15">
        <v>97</v>
      </c>
      <c r="D360" s="15">
        <v>0.2</v>
      </c>
      <c r="E360" s="15">
        <v>4</v>
      </c>
      <c r="F360" s="15">
        <v>2</v>
      </c>
      <c r="G360" s="15">
        <v>6</v>
      </c>
      <c r="H360" s="44">
        <f t="shared" si="5"/>
        <v>0.16666666666666666</v>
      </c>
      <c r="I360" s="8"/>
      <c r="J360" s="8"/>
      <c r="K360" s="8"/>
      <c r="L360" s="10"/>
    </row>
    <row r="361" spans="1:12">
      <c r="A361" s="7"/>
      <c r="B361" s="15">
        <v>96</v>
      </c>
      <c r="C361" s="15">
        <v>97</v>
      </c>
      <c r="D361" s="15">
        <v>0.1</v>
      </c>
      <c r="E361" s="15">
        <v>44</v>
      </c>
      <c r="F361" s="15">
        <v>6</v>
      </c>
      <c r="G361" s="15">
        <v>50</v>
      </c>
      <c r="H361" s="44">
        <f t="shared" si="5"/>
        <v>0.02</v>
      </c>
      <c r="I361" s="8"/>
      <c r="J361" s="8"/>
      <c r="K361" s="8"/>
      <c r="L361" s="10"/>
    </row>
    <row r="362" spans="1:12">
      <c r="A362" s="11"/>
      <c r="B362" s="19">
        <v>96</v>
      </c>
      <c r="C362" s="19">
        <v>97</v>
      </c>
      <c r="D362" s="19">
        <v>0.1</v>
      </c>
      <c r="E362" s="19">
        <v>9</v>
      </c>
      <c r="F362" s="19">
        <v>1</v>
      </c>
      <c r="G362" s="19">
        <v>10</v>
      </c>
      <c r="H362" s="46">
        <f t="shared" si="5"/>
        <v>0.1</v>
      </c>
      <c r="I362" s="12"/>
      <c r="J362" s="12"/>
      <c r="K362" s="12">
        <f>SUM(G341:G362)</f>
        <v>634</v>
      </c>
      <c r="L362" s="14">
        <f>SUM(E341:E362)</f>
        <v>486</v>
      </c>
    </row>
    <row r="363" spans="1:12">
      <c r="A363" s="3" t="s">
        <v>92</v>
      </c>
      <c r="B363" s="17">
        <v>97</v>
      </c>
      <c r="C363" s="17">
        <v>100</v>
      </c>
      <c r="D363" s="17">
        <v>0.1</v>
      </c>
      <c r="E363" s="17">
        <v>3</v>
      </c>
      <c r="F363" s="17">
        <v>1</v>
      </c>
      <c r="G363" s="17">
        <v>4</v>
      </c>
      <c r="H363" s="45">
        <f t="shared" si="5"/>
        <v>0.25</v>
      </c>
      <c r="I363" s="41">
        <f>8/55</f>
        <v>0.14545454545454545</v>
      </c>
      <c r="J363" s="41">
        <f>11/55</f>
        <v>0.2</v>
      </c>
      <c r="K363" s="4">
        <v>55</v>
      </c>
      <c r="L363" s="6">
        <v>36</v>
      </c>
    </row>
    <row r="364" spans="1:12">
      <c r="A364" s="7" t="s">
        <v>12</v>
      </c>
      <c r="B364" s="15">
        <v>97</v>
      </c>
      <c r="C364" s="15">
        <v>100</v>
      </c>
      <c r="D364" s="15">
        <v>0.2</v>
      </c>
      <c r="E364" s="15">
        <v>9</v>
      </c>
      <c r="F364" s="15">
        <v>7</v>
      </c>
      <c r="G364" s="15">
        <v>16</v>
      </c>
      <c r="H364" s="44">
        <f t="shared" si="5"/>
        <v>6.25E-2</v>
      </c>
      <c r="I364" s="8"/>
      <c r="J364" s="8"/>
      <c r="K364" s="8"/>
      <c r="L364" s="10"/>
    </row>
    <row r="365" spans="1:12">
      <c r="A365" s="7"/>
      <c r="B365" s="15">
        <v>97</v>
      </c>
      <c r="C365" s="15">
        <v>100</v>
      </c>
      <c r="D365" s="15">
        <v>0.1</v>
      </c>
      <c r="E365" s="15">
        <v>13</v>
      </c>
      <c r="F365" s="15">
        <v>3</v>
      </c>
      <c r="G365" s="15">
        <v>16</v>
      </c>
      <c r="H365" s="44">
        <f t="shared" si="5"/>
        <v>6.25E-2</v>
      </c>
      <c r="I365" s="8"/>
      <c r="J365" s="8"/>
      <c r="K365" s="8"/>
      <c r="L365" s="10"/>
    </row>
    <row r="366" spans="1:12">
      <c r="A366" s="7"/>
      <c r="B366" s="15">
        <v>97</v>
      </c>
      <c r="C366" s="15">
        <v>100</v>
      </c>
      <c r="D366" s="15">
        <v>0.1</v>
      </c>
      <c r="E366" s="15">
        <v>0</v>
      </c>
      <c r="F366" s="15">
        <v>1</v>
      </c>
      <c r="G366" s="15">
        <v>1</v>
      </c>
      <c r="H366" s="44">
        <f t="shared" si="5"/>
        <v>1</v>
      </c>
      <c r="I366" s="8"/>
      <c r="J366" s="8"/>
      <c r="K366" s="8"/>
      <c r="L366" s="10"/>
    </row>
    <row r="367" spans="1:12">
      <c r="A367" s="7"/>
      <c r="B367" s="15">
        <v>97</v>
      </c>
      <c r="C367" s="15">
        <v>100</v>
      </c>
      <c r="D367" s="15">
        <v>0.1</v>
      </c>
      <c r="E367" s="15">
        <v>3</v>
      </c>
      <c r="F367" s="15">
        <v>3</v>
      </c>
      <c r="G367" s="15">
        <v>6</v>
      </c>
      <c r="H367" s="44">
        <f t="shared" si="5"/>
        <v>0.16666666666666666</v>
      </c>
      <c r="I367" s="8"/>
      <c r="J367" s="8"/>
      <c r="K367" s="8"/>
      <c r="L367" s="10"/>
    </row>
    <row r="368" spans="1:12">
      <c r="A368" s="7"/>
      <c r="B368" s="15">
        <v>97</v>
      </c>
      <c r="C368" s="15">
        <v>100</v>
      </c>
      <c r="D368" s="15">
        <v>0.2</v>
      </c>
      <c r="E368" s="15">
        <v>5</v>
      </c>
      <c r="F368" s="15">
        <v>3</v>
      </c>
      <c r="G368" s="15">
        <v>8</v>
      </c>
      <c r="H368" s="44">
        <f t="shared" si="5"/>
        <v>0.125</v>
      </c>
      <c r="I368" s="8"/>
      <c r="J368" s="8"/>
      <c r="K368" s="8"/>
      <c r="L368" s="10"/>
    </row>
    <row r="369" spans="1:12">
      <c r="A369" s="7"/>
      <c r="B369" s="15">
        <v>97</v>
      </c>
      <c r="C369" s="15">
        <v>100</v>
      </c>
      <c r="D369" s="15">
        <v>0.1</v>
      </c>
      <c r="E369" s="15">
        <v>2</v>
      </c>
      <c r="F369" s="15">
        <v>1</v>
      </c>
      <c r="G369" s="15">
        <v>3</v>
      </c>
      <c r="H369" s="44">
        <f t="shared" si="5"/>
        <v>0.33333333333333331</v>
      </c>
      <c r="I369" s="8"/>
      <c r="J369" s="8"/>
      <c r="K369" s="8"/>
      <c r="L369" s="10"/>
    </row>
    <row r="370" spans="1:12">
      <c r="A370" s="11"/>
      <c r="B370" s="19">
        <v>97</v>
      </c>
      <c r="C370" s="19">
        <v>100</v>
      </c>
      <c r="D370" s="19">
        <v>0.2</v>
      </c>
      <c r="E370" s="19">
        <v>1</v>
      </c>
      <c r="F370" s="19">
        <v>0</v>
      </c>
      <c r="G370" s="19">
        <v>1</v>
      </c>
      <c r="H370" s="46">
        <f t="shared" si="5"/>
        <v>1</v>
      </c>
      <c r="I370" s="12"/>
      <c r="J370" s="12"/>
      <c r="K370" s="12">
        <f>SUM(G363:G370)</f>
        <v>55</v>
      </c>
      <c r="L370" s="14">
        <f>SUM(E363:E370)</f>
        <v>36</v>
      </c>
    </row>
    <row r="371" spans="1:12">
      <c r="A371" s="3" t="s">
        <v>92</v>
      </c>
      <c r="B371" s="17">
        <v>98</v>
      </c>
      <c r="C371" s="17">
        <v>100</v>
      </c>
      <c r="D371" s="17">
        <v>0.2</v>
      </c>
      <c r="E371" s="17">
        <v>16</v>
      </c>
      <c r="F371" s="17">
        <v>8</v>
      </c>
      <c r="G371" s="17">
        <v>24</v>
      </c>
      <c r="H371" s="45">
        <f t="shared" si="5"/>
        <v>4.1666666666666664E-2</v>
      </c>
      <c r="I371" s="41">
        <f>7/117</f>
        <v>5.9829059829059832E-2</v>
      </c>
      <c r="J371" s="41">
        <f>10/117</f>
        <v>8.5470085470085472E-2</v>
      </c>
      <c r="K371" s="4">
        <v>172</v>
      </c>
      <c r="L371" s="6">
        <v>126</v>
      </c>
    </row>
    <row r="372" spans="1:12">
      <c r="A372" s="7" t="s">
        <v>13</v>
      </c>
      <c r="B372" s="15">
        <v>98</v>
      </c>
      <c r="C372" s="15">
        <v>100</v>
      </c>
      <c r="D372" s="15">
        <v>0.2</v>
      </c>
      <c r="E372" s="15">
        <v>14</v>
      </c>
      <c r="F372" s="15">
        <v>1</v>
      </c>
      <c r="G372" s="15">
        <v>15</v>
      </c>
      <c r="H372" s="44">
        <f t="shared" si="5"/>
        <v>6.6666666666666666E-2</v>
      </c>
      <c r="I372" s="8"/>
      <c r="J372" s="8"/>
      <c r="K372" s="8"/>
      <c r="L372" s="10"/>
    </row>
    <row r="373" spans="1:12">
      <c r="A373" s="7"/>
      <c r="B373" s="15">
        <v>98</v>
      </c>
      <c r="C373" s="15">
        <v>100</v>
      </c>
      <c r="D373" s="15">
        <v>0.1</v>
      </c>
      <c r="E373" s="15">
        <v>25</v>
      </c>
      <c r="F373" s="15">
        <v>11</v>
      </c>
      <c r="G373" s="15">
        <v>36</v>
      </c>
      <c r="H373" s="44">
        <f t="shared" si="5"/>
        <v>2.7777777777777776E-2</v>
      </c>
      <c r="I373" s="8"/>
      <c r="J373" s="8"/>
      <c r="K373" s="8"/>
      <c r="L373" s="10"/>
    </row>
    <row r="374" spans="1:12">
      <c r="A374" s="7"/>
      <c r="B374" s="15">
        <v>98</v>
      </c>
      <c r="C374" s="15">
        <v>100</v>
      </c>
      <c r="D374" s="15">
        <v>0.1</v>
      </c>
      <c r="E374" s="15">
        <v>5</v>
      </c>
      <c r="F374" s="15">
        <v>1</v>
      </c>
      <c r="G374" s="15">
        <v>6</v>
      </c>
      <c r="H374" s="44">
        <f t="shared" si="5"/>
        <v>0.16666666666666666</v>
      </c>
      <c r="I374" s="8"/>
      <c r="J374" s="8"/>
      <c r="K374" s="8"/>
      <c r="L374" s="10"/>
    </row>
    <row r="375" spans="1:12">
      <c r="A375" s="7"/>
      <c r="B375" s="15">
        <v>98</v>
      </c>
      <c r="C375" s="15">
        <v>100</v>
      </c>
      <c r="D375" s="15">
        <v>0.1</v>
      </c>
      <c r="E375" s="15">
        <v>24</v>
      </c>
      <c r="F375" s="15">
        <v>5</v>
      </c>
      <c r="G375" s="15">
        <v>29</v>
      </c>
      <c r="H375" s="44">
        <f t="shared" si="5"/>
        <v>3.4482758620689655E-2</v>
      </c>
      <c r="I375" s="8"/>
      <c r="J375" s="8"/>
      <c r="K375" s="8"/>
      <c r="L375" s="10"/>
    </row>
    <row r="376" spans="1:12">
      <c r="A376" s="7"/>
      <c r="B376" s="15">
        <v>98</v>
      </c>
      <c r="C376" s="15">
        <v>100</v>
      </c>
      <c r="D376" s="15">
        <v>0.1</v>
      </c>
      <c r="E376" s="15">
        <v>3</v>
      </c>
      <c r="F376" s="15">
        <v>0</v>
      </c>
      <c r="G376" s="15">
        <v>3</v>
      </c>
      <c r="H376" s="44">
        <f t="shared" si="5"/>
        <v>0.33333333333333331</v>
      </c>
      <c r="I376" s="8"/>
      <c r="J376" s="8"/>
      <c r="K376" s="8"/>
      <c r="L376" s="10"/>
    </row>
    <row r="377" spans="1:12">
      <c r="A377" s="11"/>
      <c r="B377" s="19">
        <v>98</v>
      </c>
      <c r="C377" s="19">
        <v>100</v>
      </c>
      <c r="D377" s="19">
        <v>0.2</v>
      </c>
      <c r="E377" s="19">
        <v>3</v>
      </c>
      <c r="F377" s="19">
        <v>1</v>
      </c>
      <c r="G377" s="19">
        <v>4</v>
      </c>
      <c r="H377" s="46">
        <f t="shared" si="5"/>
        <v>0.25</v>
      </c>
      <c r="I377" s="12"/>
      <c r="J377" s="12"/>
      <c r="K377" s="12">
        <f>SUM(G363:G377)</f>
        <v>172</v>
      </c>
      <c r="L377" s="14">
        <f>SUM(E363:E377)</f>
        <v>126</v>
      </c>
    </row>
    <row r="378" spans="1:12">
      <c r="A378" s="3" t="s">
        <v>92</v>
      </c>
      <c r="B378" s="17">
        <v>99</v>
      </c>
      <c r="C378" s="17">
        <v>100</v>
      </c>
      <c r="D378" s="17">
        <v>0.1</v>
      </c>
      <c r="E378" s="17">
        <v>10</v>
      </c>
      <c r="F378" s="17">
        <v>4</v>
      </c>
      <c r="G378" s="17">
        <v>14</v>
      </c>
      <c r="H378" s="45">
        <f t="shared" si="5"/>
        <v>7.1428571428571425E-2</v>
      </c>
      <c r="I378" s="41">
        <f>8/110</f>
        <v>7.2727272727272724E-2</v>
      </c>
      <c r="J378" s="41">
        <f>9/110</f>
        <v>8.1818181818181818E-2</v>
      </c>
      <c r="K378" s="4">
        <v>282</v>
      </c>
      <c r="L378" s="6">
        <v>221</v>
      </c>
    </row>
    <row r="379" spans="1:12">
      <c r="A379" s="7" t="s">
        <v>14</v>
      </c>
      <c r="B379" s="15">
        <v>99</v>
      </c>
      <c r="C379" s="15">
        <v>100</v>
      </c>
      <c r="D379" s="15">
        <v>0.1</v>
      </c>
      <c r="E379" s="15">
        <v>15</v>
      </c>
      <c r="F379" s="15">
        <v>2</v>
      </c>
      <c r="G379" s="15">
        <v>17</v>
      </c>
      <c r="H379" s="44">
        <f t="shared" si="5"/>
        <v>5.8823529411764705E-2</v>
      </c>
      <c r="I379" s="8"/>
      <c r="J379" s="8"/>
      <c r="K379" s="8"/>
      <c r="L379" s="10"/>
    </row>
    <row r="380" spans="1:12">
      <c r="A380" s="7"/>
      <c r="B380" s="15">
        <v>99</v>
      </c>
      <c r="C380" s="15">
        <v>100</v>
      </c>
      <c r="D380" s="15">
        <v>0.1</v>
      </c>
      <c r="E380" s="15">
        <v>2</v>
      </c>
      <c r="F380" s="15">
        <v>1</v>
      </c>
      <c r="G380" s="15">
        <v>3</v>
      </c>
      <c r="H380" s="44">
        <f t="shared" si="5"/>
        <v>0.33333333333333331</v>
      </c>
      <c r="I380" s="8"/>
      <c r="J380" s="8"/>
      <c r="K380" s="8"/>
      <c r="L380" s="10"/>
    </row>
    <row r="381" spans="1:12">
      <c r="A381" s="7"/>
      <c r="B381" s="15">
        <v>99</v>
      </c>
      <c r="C381" s="15">
        <v>100</v>
      </c>
      <c r="D381" s="15">
        <v>0.2</v>
      </c>
      <c r="E381" s="15">
        <v>11</v>
      </c>
      <c r="F381" s="15">
        <v>1</v>
      </c>
      <c r="G381" s="15">
        <v>12</v>
      </c>
      <c r="H381" s="44">
        <f t="shared" si="5"/>
        <v>8.3333333333333329E-2</v>
      </c>
      <c r="I381" s="8"/>
      <c r="J381" s="8"/>
      <c r="K381" s="8"/>
      <c r="L381" s="10"/>
    </row>
    <row r="382" spans="1:12">
      <c r="A382" s="7"/>
      <c r="B382" s="15">
        <v>99</v>
      </c>
      <c r="C382" s="15">
        <v>100</v>
      </c>
      <c r="D382" s="15">
        <v>0.1</v>
      </c>
      <c r="E382" s="15">
        <v>33</v>
      </c>
      <c r="F382" s="15">
        <v>4</v>
      </c>
      <c r="G382" s="15">
        <v>37</v>
      </c>
      <c r="H382" s="44">
        <f t="shared" si="5"/>
        <v>2.7027027027027029E-2</v>
      </c>
      <c r="I382" s="8"/>
      <c r="J382" s="8"/>
      <c r="K382" s="8"/>
      <c r="L382" s="10"/>
    </row>
    <row r="383" spans="1:12">
      <c r="A383" s="7"/>
      <c r="B383" s="15">
        <v>99</v>
      </c>
      <c r="C383" s="15">
        <v>100</v>
      </c>
      <c r="D383" s="15">
        <v>0.1</v>
      </c>
      <c r="E383" s="15">
        <v>9</v>
      </c>
      <c r="F383" s="15">
        <v>2</v>
      </c>
      <c r="G383" s="15">
        <v>11</v>
      </c>
      <c r="H383" s="44">
        <f t="shared" si="5"/>
        <v>9.0909090909090912E-2</v>
      </c>
      <c r="I383" s="8"/>
      <c r="J383" s="8"/>
      <c r="K383" s="8"/>
      <c r="L383" s="10"/>
    </row>
    <row r="384" spans="1:12">
      <c r="A384" s="7"/>
      <c r="B384" s="15">
        <v>99</v>
      </c>
      <c r="C384" s="15">
        <v>100</v>
      </c>
      <c r="D384" s="8">
        <v>0.1</v>
      </c>
      <c r="E384" s="15">
        <v>12</v>
      </c>
      <c r="F384" s="15">
        <v>1</v>
      </c>
      <c r="G384" s="15">
        <v>13</v>
      </c>
      <c r="H384" s="44">
        <f t="shared" si="5"/>
        <v>7.6923076923076927E-2</v>
      </c>
      <c r="I384" s="8"/>
      <c r="J384" s="8"/>
      <c r="K384" s="8"/>
      <c r="L384" s="10"/>
    </row>
    <row r="385" spans="1:12">
      <c r="A385" s="11"/>
      <c r="B385" s="19">
        <v>99</v>
      </c>
      <c r="C385" s="19">
        <v>100</v>
      </c>
      <c r="D385" s="12">
        <v>0.1</v>
      </c>
      <c r="E385" s="19">
        <v>3</v>
      </c>
      <c r="F385" s="19">
        <v>0</v>
      </c>
      <c r="G385" s="19">
        <v>3</v>
      </c>
      <c r="H385" s="46">
        <f t="shared" si="5"/>
        <v>0.33333333333333331</v>
      </c>
      <c r="I385" s="12"/>
      <c r="J385" s="12"/>
      <c r="K385" s="12">
        <f>SUM(G363:G385)</f>
        <v>282</v>
      </c>
      <c r="L385" s="14">
        <f>SUM(E363:E385)</f>
        <v>221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3"/>
  <sheetViews>
    <sheetView topLeftCell="A58" workbookViewId="0">
      <selection activeCell="K63" sqref="K63"/>
    </sheetView>
  </sheetViews>
  <sheetFormatPr defaultRowHeight="15"/>
  <cols>
    <col min="1" max="1" width="19.85546875" bestFit="1" customWidth="1"/>
    <col min="2" max="2" width="9.140625" customWidth="1"/>
    <col min="8" max="8" width="11.140625" bestFit="1" customWidth="1"/>
  </cols>
  <sheetData>
    <row r="1" spans="1:12">
      <c r="B1" s="33" t="s">
        <v>14</v>
      </c>
      <c r="C1" s="34" t="s">
        <v>13</v>
      </c>
      <c r="D1" s="35" t="s">
        <v>12</v>
      </c>
      <c r="E1" s="36" t="s">
        <v>18</v>
      </c>
      <c r="F1" s="37" t="s">
        <v>33</v>
      </c>
      <c r="G1" s="38" t="s">
        <v>32</v>
      </c>
      <c r="H1" s="1" t="s">
        <v>76</v>
      </c>
      <c r="J1" t="s">
        <v>77</v>
      </c>
    </row>
    <row r="2" spans="1:12">
      <c r="A2" t="s">
        <v>76</v>
      </c>
      <c r="B2" s="2">
        <f>103/888</f>
        <v>0.11599099099099099</v>
      </c>
      <c r="C2" s="2">
        <f>96/387</f>
        <v>0.24806201550387597</v>
      </c>
      <c r="D2" s="2">
        <f>87/239</f>
        <v>0.36401673640167365</v>
      </c>
      <c r="E2" s="2">
        <f>57/123</f>
        <v>0.46341463414634149</v>
      </c>
      <c r="F2" s="2">
        <f>29/63</f>
        <v>0.46031746031746029</v>
      </c>
      <c r="G2" s="2">
        <f>11/13</f>
        <v>0.84615384615384615</v>
      </c>
      <c r="H2" s="2">
        <f>383/1713</f>
        <v>0.22358435493286632</v>
      </c>
      <c r="J2" s="39" t="s">
        <v>78</v>
      </c>
      <c r="K2" s="39"/>
      <c r="L2" s="39"/>
    </row>
    <row r="3" spans="1:12">
      <c r="A3" t="s">
        <v>11</v>
      </c>
      <c r="B3" s="2">
        <f>9/56</f>
        <v>0.16071428571428573</v>
      </c>
      <c r="C3" s="2">
        <f>7/20</f>
        <v>0.35</v>
      </c>
      <c r="D3" s="2">
        <f>9/13</f>
        <v>0.69230769230769229</v>
      </c>
      <c r="E3" s="2"/>
      <c r="F3" s="2"/>
      <c r="G3" s="2"/>
      <c r="H3" s="2">
        <f>25/89</f>
        <v>0.2808988764044944</v>
      </c>
      <c r="J3" s="39" t="s">
        <v>79</v>
      </c>
      <c r="K3" s="39"/>
      <c r="L3" s="39"/>
    </row>
    <row r="4" spans="1:12">
      <c r="A4" t="s">
        <v>15</v>
      </c>
      <c r="B4" s="2">
        <f>10/33</f>
        <v>0.30303030303030304</v>
      </c>
      <c r="C4" s="2">
        <f>7/17</f>
        <v>0.41176470588235292</v>
      </c>
      <c r="D4" s="2">
        <f>8/13</f>
        <v>0.61538461538461542</v>
      </c>
      <c r="E4" s="2"/>
      <c r="F4" s="2"/>
      <c r="G4" s="2"/>
      <c r="H4" s="2">
        <f>25/63</f>
        <v>0.3968253968253968</v>
      </c>
      <c r="J4" s="39" t="s">
        <v>80</v>
      </c>
      <c r="K4" s="39"/>
      <c r="L4" s="39"/>
    </row>
    <row r="5" spans="1:12">
      <c r="A5" t="s">
        <v>17</v>
      </c>
      <c r="B5" s="2">
        <f>8/29</f>
        <v>0.27586206896551724</v>
      </c>
      <c r="C5" s="2">
        <f>7/14</f>
        <v>0.5</v>
      </c>
      <c r="D5" s="2">
        <f>9/17</f>
        <v>0.52941176470588236</v>
      </c>
      <c r="E5" s="2">
        <f>6/10</f>
        <v>0.6</v>
      </c>
      <c r="F5" s="2"/>
      <c r="G5" s="2"/>
      <c r="H5" s="2">
        <f>30/70</f>
        <v>0.42857142857142855</v>
      </c>
      <c r="J5" s="39" t="s">
        <v>79</v>
      </c>
      <c r="K5" s="39"/>
      <c r="L5" s="39"/>
    </row>
    <row r="6" spans="1:12">
      <c r="A6" t="s">
        <v>73</v>
      </c>
      <c r="B6" s="2">
        <f>9/48</f>
        <v>0.1875</v>
      </c>
      <c r="C6" s="2">
        <f>9/30</f>
        <v>0.3</v>
      </c>
      <c r="D6" s="2">
        <f>7/21</f>
        <v>0.33333333333333331</v>
      </c>
      <c r="E6" s="2">
        <f>7/10</f>
        <v>0.7</v>
      </c>
      <c r="F6" s="2"/>
      <c r="G6" s="2"/>
      <c r="H6" s="2">
        <f>32/109</f>
        <v>0.29357798165137616</v>
      </c>
      <c r="J6" s="39" t="s">
        <v>93</v>
      </c>
      <c r="K6" s="39"/>
      <c r="L6" s="39"/>
    </row>
    <row r="7" spans="1:12">
      <c r="A7" t="s">
        <v>31</v>
      </c>
      <c r="B7" s="2">
        <f>9/33</f>
        <v>0.27272727272727271</v>
      </c>
      <c r="C7" s="2">
        <f>9/19</f>
        <v>0.47368421052631576</v>
      </c>
      <c r="D7" s="2">
        <f>7/16</f>
        <v>0.4375</v>
      </c>
      <c r="E7" s="2">
        <f>10/11</f>
        <v>0.90909090909090906</v>
      </c>
      <c r="F7" s="2">
        <f>5/8</f>
        <v>0.625</v>
      </c>
      <c r="G7" s="2">
        <f>5/5</f>
        <v>1</v>
      </c>
      <c r="H7" s="2">
        <f>45/92</f>
        <v>0.4891304347826087</v>
      </c>
      <c r="J7" s="39" t="s">
        <v>94</v>
      </c>
      <c r="K7" s="39"/>
      <c r="L7" s="39"/>
    </row>
    <row r="8" spans="1:12">
      <c r="A8" t="s">
        <v>40</v>
      </c>
      <c r="B8" s="2">
        <f>8/58</f>
        <v>0.13793103448275862</v>
      </c>
      <c r="C8" s="2">
        <f>8/43</f>
        <v>0.18604651162790697</v>
      </c>
      <c r="D8" s="2">
        <f>9/17</f>
        <v>0.52941176470588236</v>
      </c>
      <c r="E8" s="2">
        <f>6/16</f>
        <v>0.375</v>
      </c>
      <c r="F8" s="2">
        <f>6/10</f>
        <v>0.6</v>
      </c>
      <c r="G8" s="2"/>
      <c r="H8" s="2">
        <f>37/144</f>
        <v>0.25694444444444442</v>
      </c>
      <c r="J8" s="39" t="s">
        <v>95</v>
      </c>
    </row>
    <row r="9" spans="1:12">
      <c r="A9" t="s">
        <v>43</v>
      </c>
      <c r="B9" s="2">
        <f>8/62</f>
        <v>0.12903225806451613</v>
      </c>
      <c r="C9" s="2">
        <f>8/20</f>
        <v>0.4</v>
      </c>
      <c r="D9" s="2">
        <f>9/19</f>
        <v>0.47368421052631576</v>
      </c>
      <c r="E9" s="2">
        <f>6/16</f>
        <v>0.375</v>
      </c>
      <c r="F9" s="2"/>
      <c r="G9" s="2"/>
      <c r="H9" s="2">
        <f>31/117</f>
        <v>0.26495726495726496</v>
      </c>
      <c r="J9" s="39" t="s">
        <v>142</v>
      </c>
    </row>
    <row r="10" spans="1:12">
      <c r="A10" t="s">
        <v>46</v>
      </c>
      <c r="B10" s="2">
        <f>9/109</f>
        <v>8.2568807339449546E-2</v>
      </c>
      <c r="C10" s="2">
        <f>6/24</f>
        <v>0.25</v>
      </c>
      <c r="D10" s="2">
        <f>8/26</f>
        <v>0.30769230769230771</v>
      </c>
      <c r="E10" s="2">
        <f>6/14</f>
        <v>0.42857142857142855</v>
      </c>
      <c r="F10" s="2">
        <f>7/13</f>
        <v>0.53846153846153844</v>
      </c>
      <c r="G10" s="2"/>
      <c r="H10" s="2">
        <f>36/186</f>
        <v>0.19354838709677419</v>
      </c>
    </row>
    <row r="11" spans="1:12">
      <c r="A11" t="s">
        <v>53</v>
      </c>
      <c r="B11" s="2">
        <f>7/147</f>
        <v>4.7619047619047616E-2</v>
      </c>
      <c r="C11" s="2">
        <f>9/33</f>
        <v>0.27272727272727271</v>
      </c>
      <c r="D11" s="2">
        <f>7/36</f>
        <v>0.19444444444444445</v>
      </c>
      <c r="E11" s="2"/>
      <c r="F11" s="2"/>
      <c r="G11" s="2"/>
      <c r="H11" s="2">
        <f>23/216</f>
        <v>0.10648148148148148</v>
      </c>
    </row>
    <row r="12" spans="1:12">
      <c r="A12" t="s">
        <v>56</v>
      </c>
      <c r="B12" s="2">
        <f>9/90</f>
        <v>0.1</v>
      </c>
      <c r="C12" s="2">
        <f>9/37</f>
        <v>0.24324324324324326</v>
      </c>
      <c r="D12" s="2">
        <f>7/26</f>
        <v>0.26923076923076922</v>
      </c>
      <c r="E12" s="2">
        <f>8/21</f>
        <v>0.38095238095238093</v>
      </c>
      <c r="F12" s="2">
        <f>5/17</f>
        <v>0.29411764705882354</v>
      </c>
      <c r="G12" s="2"/>
      <c r="H12" s="2">
        <f>38/191</f>
        <v>0.19895287958115182</v>
      </c>
    </row>
    <row r="13" spans="1:12">
      <c r="A13" t="s">
        <v>74</v>
      </c>
      <c r="B13" s="2">
        <f>10/133</f>
        <v>7.5187969924812026E-2</v>
      </c>
      <c r="C13" s="2">
        <f>8/89</f>
        <v>8.98876404494382E-2</v>
      </c>
      <c r="D13" s="2"/>
      <c r="E13" s="2"/>
      <c r="F13" s="2"/>
      <c r="G13" s="2"/>
      <c r="H13" s="2">
        <f>18/222</f>
        <v>8.1081081081081086E-2</v>
      </c>
    </row>
    <row r="14" spans="1:12">
      <c r="A14" t="s">
        <v>75</v>
      </c>
      <c r="B14" s="2">
        <f>7/90</f>
        <v>7.7777777777777779E-2</v>
      </c>
      <c r="C14" s="2">
        <f>9/41</f>
        <v>0.21951219512195122</v>
      </c>
      <c r="D14" s="2">
        <f>7/35</f>
        <v>0.2</v>
      </c>
      <c r="E14" s="2">
        <f>8/25</f>
        <v>0.32</v>
      </c>
      <c r="F14" s="2">
        <f>6/15</f>
        <v>0.4</v>
      </c>
      <c r="G14" s="2">
        <f>6/8</f>
        <v>0.75</v>
      </c>
      <c r="H14" s="2">
        <f>43/214</f>
        <v>0.20093457943925233</v>
      </c>
    </row>
    <row r="17" spans="7:7">
      <c r="G17" s="2"/>
    </row>
    <row r="38" spans="1:8">
      <c r="B38" s="33" t="s">
        <v>14</v>
      </c>
      <c r="C38" s="34" t="s">
        <v>13</v>
      </c>
      <c r="D38" s="35" t="s">
        <v>12</v>
      </c>
      <c r="E38" s="36" t="s">
        <v>18</v>
      </c>
      <c r="F38" s="37" t="s">
        <v>33</v>
      </c>
      <c r="G38" s="38" t="s">
        <v>32</v>
      </c>
      <c r="H38" s="1" t="s">
        <v>76</v>
      </c>
    </row>
    <row r="39" spans="1:8">
      <c r="A39" t="s">
        <v>76</v>
      </c>
      <c r="B39" s="47">
        <f>100/2437</f>
        <v>4.103405826836274E-2</v>
      </c>
      <c r="C39" s="47">
        <f>97/1413</f>
        <v>6.8648266100495403E-2</v>
      </c>
      <c r="D39" s="47">
        <f>91/830</f>
        <v>0.10963855421686747</v>
      </c>
      <c r="E39" s="47">
        <f>76/372</f>
        <v>0.20430107526881722</v>
      </c>
      <c r="F39" s="47">
        <f>20/66</f>
        <v>0.30303030303030304</v>
      </c>
      <c r="G39" s="47"/>
      <c r="H39" s="47">
        <f>384/5118</f>
        <v>7.5029308323563887E-2</v>
      </c>
    </row>
    <row r="40" spans="1:8">
      <c r="A40" t="s">
        <v>81</v>
      </c>
      <c r="B40" s="47">
        <f>7/83</f>
        <v>8.4337349397590355E-2</v>
      </c>
      <c r="C40" s="47">
        <f>8/106</f>
        <v>7.5471698113207544E-2</v>
      </c>
      <c r="D40" s="47">
        <f>9/71</f>
        <v>0.12676056338028169</v>
      </c>
      <c r="E40" s="47">
        <f>7/26</f>
        <v>0.26923076923076922</v>
      </c>
      <c r="F40" s="47">
        <f>5/7</f>
        <v>0.7142857142857143</v>
      </c>
      <c r="G40" s="47"/>
      <c r="H40" s="47">
        <f>36/293</f>
        <v>0.12286689419795221</v>
      </c>
    </row>
    <row r="41" spans="1:8">
      <c r="A41" t="s">
        <v>84</v>
      </c>
      <c r="B41" s="47">
        <f>8/173</f>
        <v>4.6242774566473986E-2</v>
      </c>
      <c r="C41" s="47">
        <f>7/48</f>
        <v>0.14583333333333334</v>
      </c>
      <c r="D41" s="47">
        <f>6/26</f>
        <v>0.23076923076923078</v>
      </c>
      <c r="E41" s="47">
        <f>9/50</f>
        <v>0.18</v>
      </c>
      <c r="F41" s="47">
        <f>4/8</f>
        <v>0.5</v>
      </c>
      <c r="G41" s="47"/>
      <c r="H41" s="47">
        <f>34/305</f>
        <v>0.11147540983606558</v>
      </c>
    </row>
    <row r="42" spans="1:8">
      <c r="A42" t="s">
        <v>85</v>
      </c>
      <c r="B42" s="47">
        <f>10/151</f>
        <v>6.6225165562913912E-2</v>
      </c>
      <c r="C42" s="47">
        <f>8/109</f>
        <v>7.3394495412844041E-2</v>
      </c>
      <c r="D42" s="47">
        <f>7/40</f>
        <v>0.17499999999999999</v>
      </c>
      <c r="E42" s="47">
        <f>10/37</f>
        <v>0.27027027027027029</v>
      </c>
      <c r="F42" s="47"/>
      <c r="G42" s="47"/>
      <c r="H42" s="47">
        <f>35/337</f>
        <v>0.10385756676557864</v>
      </c>
    </row>
    <row r="43" spans="1:8">
      <c r="A43" t="s">
        <v>86</v>
      </c>
      <c r="B43" s="47">
        <f>8/108</f>
        <v>7.407407407407407E-2</v>
      </c>
      <c r="C43" s="47">
        <f>9/106</f>
        <v>8.4905660377358486E-2</v>
      </c>
      <c r="D43" s="47">
        <f>8/49</f>
        <v>0.16326530612244897</v>
      </c>
      <c r="E43" s="47">
        <f>7/15</f>
        <v>0.46666666666666667</v>
      </c>
      <c r="F43" s="47"/>
      <c r="G43" s="47"/>
      <c r="H43" s="47">
        <f>32/278</f>
        <v>0.11510791366906475</v>
      </c>
    </row>
    <row r="44" spans="1:8">
      <c r="A44" t="s">
        <v>87</v>
      </c>
      <c r="B44" s="47">
        <f>8/202</f>
        <v>3.9603960396039604E-2</v>
      </c>
      <c r="C44" s="47">
        <f>6/80</f>
        <v>7.4999999999999997E-2</v>
      </c>
      <c r="D44" s="47">
        <f>9/54</f>
        <v>0.16666666666666666</v>
      </c>
      <c r="E44" s="47">
        <f>6/21</f>
        <v>0.2857142857142857</v>
      </c>
      <c r="F44" s="47"/>
      <c r="G44" s="47"/>
      <c r="H44" s="47">
        <f>29/357</f>
        <v>8.1232492997198882E-2</v>
      </c>
    </row>
    <row r="45" spans="1:8">
      <c r="A45" t="s">
        <v>103</v>
      </c>
      <c r="B45" s="47">
        <f>9/240</f>
        <v>3.7499999999999999E-2</v>
      </c>
      <c r="C45" s="47">
        <f>9/127</f>
        <v>7.0866141732283464E-2</v>
      </c>
      <c r="D45" s="47">
        <f>9/92</f>
        <v>9.7826086956521743E-2</v>
      </c>
      <c r="E45" s="47">
        <f>9/34</f>
        <v>0.26470588235294118</v>
      </c>
      <c r="F45" s="47"/>
      <c r="G45" s="47"/>
      <c r="H45" s="47">
        <f>36/493</f>
        <v>7.3022312373225151E-2</v>
      </c>
    </row>
    <row r="46" spans="1:8">
      <c r="A46" t="s">
        <v>88</v>
      </c>
      <c r="B46" s="47">
        <f>10/287</f>
        <v>3.484320557491289E-2</v>
      </c>
      <c r="C46" s="47">
        <f>9/120</f>
        <v>7.4999999999999997E-2</v>
      </c>
      <c r="D46" s="47">
        <f>5/45</f>
        <v>0.1111111111111111</v>
      </c>
      <c r="E46" s="47">
        <f>8/46</f>
        <v>0.17391304347826086</v>
      </c>
      <c r="F46" s="47">
        <f>5/14</f>
        <v>0.35714285714285715</v>
      </c>
      <c r="G46" s="47"/>
      <c r="H46" s="47">
        <f>37/512</f>
        <v>7.2265625E-2</v>
      </c>
    </row>
    <row r="47" spans="1:8">
      <c r="A47" t="s">
        <v>104</v>
      </c>
      <c r="B47" s="47">
        <f>8/132</f>
        <v>6.0606060606060608E-2</v>
      </c>
      <c r="C47" s="47">
        <f>10/208</f>
        <v>4.807692307692308E-2</v>
      </c>
      <c r="D47" s="47">
        <f>7/63</f>
        <v>0.1111111111111111</v>
      </c>
      <c r="E47" s="47">
        <f>7/73</f>
        <v>9.5890410958904104E-2</v>
      </c>
      <c r="F47" s="47"/>
      <c r="G47" s="47"/>
      <c r="H47" s="47">
        <f>32/476</f>
        <v>6.7226890756302518E-2</v>
      </c>
    </row>
    <row r="48" spans="1:8">
      <c r="A48" t="s">
        <v>89</v>
      </c>
      <c r="B48" s="47">
        <f>8/141</f>
        <v>5.6737588652482268E-2</v>
      </c>
      <c r="C48" s="47">
        <f>9/155</f>
        <v>5.8064516129032261E-2</v>
      </c>
      <c r="D48" s="47">
        <f>7/46</f>
        <v>0.15217391304347827</v>
      </c>
      <c r="E48" s="47">
        <f>6/30</f>
        <v>0.2</v>
      </c>
      <c r="F48" s="47">
        <f>6/37</f>
        <v>0.16216216216216217</v>
      </c>
      <c r="G48" s="47"/>
      <c r="H48" s="47">
        <f>36/409</f>
        <v>8.8019559902200492E-2</v>
      </c>
    </row>
    <row r="49" spans="1:8">
      <c r="A49" t="s">
        <v>90</v>
      </c>
      <c r="B49" s="47">
        <f>9/478</f>
        <v>1.8828451882845189E-2</v>
      </c>
      <c r="C49" s="47">
        <f>8/121</f>
        <v>6.6115702479338845E-2</v>
      </c>
      <c r="D49" s="47">
        <f>8/103</f>
        <v>7.7669902912621352E-2</v>
      </c>
      <c r="E49" s="47">
        <f>7/40</f>
        <v>0.17499999999999999</v>
      </c>
      <c r="F49" s="47"/>
      <c r="G49" s="47"/>
      <c r="H49" s="47">
        <f>32/742</f>
        <v>4.3126684636118601E-2</v>
      </c>
    </row>
    <row r="50" spans="1:8">
      <c r="A50" t="s">
        <v>91</v>
      </c>
      <c r="B50" s="47">
        <f>7/332</f>
        <v>2.1084337349397589E-2</v>
      </c>
      <c r="C50" s="47">
        <f>7/116</f>
        <v>6.0344827586206899E-2</v>
      </c>
      <c r="D50" s="47">
        <f>8/186</f>
        <v>4.3010752688172046E-2</v>
      </c>
      <c r="E50" s="47"/>
      <c r="F50" s="47"/>
      <c r="G50" s="47"/>
      <c r="H50" s="47">
        <f>22/634</f>
        <v>3.4700315457413249E-2</v>
      </c>
    </row>
    <row r="51" spans="1:8">
      <c r="A51" t="s">
        <v>92</v>
      </c>
      <c r="B51" s="47">
        <f>8/110</f>
        <v>7.2727272727272724E-2</v>
      </c>
      <c r="C51" s="47">
        <f>7/117</f>
        <v>5.9829059829059832E-2</v>
      </c>
      <c r="D51" s="47">
        <f>8/55</f>
        <v>0.14545454545454545</v>
      </c>
      <c r="E51" s="47"/>
      <c r="F51" s="47"/>
      <c r="G51" s="47"/>
      <c r="H51" s="47">
        <f>23/282</f>
        <v>8.1560283687943269E-2</v>
      </c>
    </row>
    <row r="53" spans="1:8">
      <c r="B53" s="5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82"/>
  <sheetViews>
    <sheetView tabSelected="1" topLeftCell="A158" zoomScaleNormal="100" workbookViewId="0">
      <selection activeCell="Z162" sqref="Z162"/>
    </sheetView>
  </sheetViews>
  <sheetFormatPr defaultRowHeight="15"/>
  <cols>
    <col min="1" max="1" width="21.7109375" bestFit="1" customWidth="1"/>
    <col min="2" max="2" width="10.42578125" bestFit="1" customWidth="1"/>
    <col min="10" max="10" width="11.85546875" bestFit="1" customWidth="1"/>
  </cols>
  <sheetData>
    <row r="1" spans="1:12">
      <c r="A1" s="1" t="s">
        <v>10</v>
      </c>
      <c r="B1" s="1" t="s">
        <v>0</v>
      </c>
      <c r="C1" t="s">
        <v>4</v>
      </c>
      <c r="D1" s="1" t="s">
        <v>1</v>
      </c>
      <c r="E1" s="1" t="s">
        <v>2</v>
      </c>
      <c r="F1" s="1" t="s">
        <v>3</v>
      </c>
      <c r="G1" s="1" t="s">
        <v>7</v>
      </c>
      <c r="H1" s="1" t="s">
        <v>5</v>
      </c>
      <c r="I1" s="1" t="s">
        <v>6</v>
      </c>
      <c r="J1" s="1" t="s">
        <v>16</v>
      </c>
      <c r="K1" s="1" t="s">
        <v>8</v>
      </c>
      <c r="L1" s="1" t="s">
        <v>9</v>
      </c>
    </row>
    <row r="2" spans="1:12">
      <c r="A2" s="3" t="s">
        <v>143</v>
      </c>
      <c r="B2" s="4">
        <v>0</v>
      </c>
      <c r="C2" s="4">
        <v>9</v>
      </c>
      <c r="D2" s="4">
        <v>0.1</v>
      </c>
      <c r="E2" s="4">
        <v>1</v>
      </c>
      <c r="F2" s="4">
        <v>0</v>
      </c>
      <c r="G2" s="4">
        <v>1</v>
      </c>
      <c r="H2" s="41">
        <f>1/G2</f>
        <v>1</v>
      </c>
      <c r="I2" s="41">
        <f>6/6</f>
        <v>1</v>
      </c>
      <c r="J2" s="41">
        <f>10/6</f>
        <v>1.6666666666666667</v>
      </c>
      <c r="K2" s="4">
        <v>6</v>
      </c>
      <c r="L2" s="6">
        <v>5</v>
      </c>
    </row>
    <row r="3" spans="1:12">
      <c r="A3" s="7" t="s">
        <v>144</v>
      </c>
      <c r="B3" s="8">
        <v>0</v>
      </c>
      <c r="C3" s="8">
        <v>9</v>
      </c>
      <c r="D3" s="8">
        <v>0.2</v>
      </c>
      <c r="E3" s="8">
        <v>1</v>
      </c>
      <c r="F3" s="8">
        <v>0</v>
      </c>
      <c r="G3" s="8">
        <v>1</v>
      </c>
      <c r="H3" s="42">
        <f>1/G3</f>
        <v>1</v>
      </c>
      <c r="I3" s="8"/>
      <c r="J3" s="8"/>
      <c r="K3" s="8"/>
      <c r="L3" s="10"/>
    </row>
    <row r="4" spans="1:12">
      <c r="A4" s="52" t="s">
        <v>145</v>
      </c>
      <c r="B4" s="8">
        <v>0</v>
      </c>
      <c r="C4" s="8">
        <v>9</v>
      </c>
      <c r="D4" s="8">
        <v>0.1</v>
      </c>
      <c r="E4" s="8">
        <v>1</v>
      </c>
      <c r="F4" s="8">
        <v>0</v>
      </c>
      <c r="G4" s="8">
        <v>1</v>
      </c>
      <c r="H4" s="42">
        <f>1/G4</f>
        <v>1</v>
      </c>
      <c r="I4" s="8"/>
      <c r="J4" s="8"/>
      <c r="K4" s="8"/>
      <c r="L4" s="10"/>
    </row>
    <row r="5" spans="1:12">
      <c r="A5" s="52" t="s">
        <v>146</v>
      </c>
      <c r="B5" s="8">
        <v>0</v>
      </c>
      <c r="C5" s="8">
        <v>9</v>
      </c>
      <c r="D5" s="8">
        <v>0.2</v>
      </c>
      <c r="E5" s="8">
        <v>0</v>
      </c>
      <c r="F5" s="8">
        <v>1</v>
      </c>
      <c r="G5" s="8">
        <v>1</v>
      </c>
      <c r="H5" s="42">
        <f>1/G5</f>
        <v>1</v>
      </c>
      <c r="I5" s="8"/>
      <c r="J5" s="8"/>
      <c r="K5" s="8"/>
      <c r="L5" s="10"/>
    </row>
    <row r="6" spans="1:12">
      <c r="A6" s="7" t="s">
        <v>147</v>
      </c>
      <c r="B6" s="8">
        <v>0</v>
      </c>
      <c r="C6" s="8">
        <v>9</v>
      </c>
      <c r="D6" s="8">
        <v>0.3</v>
      </c>
      <c r="E6" s="8">
        <v>1</v>
      </c>
      <c r="F6" s="8">
        <v>0</v>
      </c>
      <c r="G6" s="8">
        <v>1</v>
      </c>
      <c r="H6" s="42">
        <f>1/G6</f>
        <v>1</v>
      </c>
      <c r="I6" s="8"/>
      <c r="J6" s="8"/>
      <c r="K6" s="8"/>
      <c r="L6" s="10"/>
    </row>
    <row r="7" spans="1:12">
      <c r="A7" s="11"/>
      <c r="B7" s="12">
        <v>0</v>
      </c>
      <c r="C7" s="12">
        <v>9</v>
      </c>
      <c r="D7" s="12">
        <v>0.1</v>
      </c>
      <c r="E7" s="12">
        <v>1</v>
      </c>
      <c r="F7" s="12">
        <v>0</v>
      </c>
      <c r="G7" s="12">
        <v>1</v>
      </c>
      <c r="H7" s="43">
        <f>1/G7</f>
        <v>1</v>
      </c>
      <c r="I7" s="12"/>
      <c r="J7" s="12"/>
      <c r="K7" s="12">
        <f>SUM(G2:G7)</f>
        <v>6</v>
      </c>
      <c r="L7" s="14">
        <f>SUM(E2:E7)</f>
        <v>5</v>
      </c>
    </row>
    <row r="8" spans="1:12">
      <c r="A8" s="54" t="s">
        <v>143</v>
      </c>
      <c r="B8" s="17">
        <v>1</v>
      </c>
      <c r="C8" s="17">
        <v>9</v>
      </c>
      <c r="D8" s="17">
        <v>0.1</v>
      </c>
      <c r="E8" s="17">
        <v>1</v>
      </c>
      <c r="F8" s="17">
        <v>0</v>
      </c>
      <c r="G8" s="17">
        <v>1</v>
      </c>
      <c r="H8" s="45">
        <f>1/G8</f>
        <v>1</v>
      </c>
      <c r="I8" s="41">
        <f>9/14</f>
        <v>0.6428571428571429</v>
      </c>
      <c r="J8" s="41">
        <f>11/14</f>
        <v>0.7857142857142857</v>
      </c>
      <c r="K8" s="4">
        <v>14</v>
      </c>
      <c r="L8" s="6">
        <v>5</v>
      </c>
    </row>
    <row r="9" spans="1:12">
      <c r="A9" s="53" t="s">
        <v>148</v>
      </c>
      <c r="B9" s="15">
        <v>1</v>
      </c>
      <c r="C9" s="15">
        <v>9</v>
      </c>
      <c r="D9" s="15">
        <v>0.1</v>
      </c>
      <c r="E9" s="15">
        <v>1</v>
      </c>
      <c r="F9" s="15">
        <v>1</v>
      </c>
      <c r="G9" s="15">
        <v>2</v>
      </c>
      <c r="H9" s="44">
        <f>1/G9</f>
        <v>0.5</v>
      </c>
      <c r="I9" s="8"/>
      <c r="J9" s="8"/>
      <c r="K9" s="8"/>
      <c r="L9" s="10"/>
    </row>
    <row r="10" spans="1:12">
      <c r="A10" s="52" t="s">
        <v>145</v>
      </c>
      <c r="B10" s="15">
        <v>1</v>
      </c>
      <c r="C10" s="15">
        <v>9</v>
      </c>
      <c r="D10" s="15">
        <v>0.1</v>
      </c>
      <c r="E10" s="15">
        <v>0</v>
      </c>
      <c r="F10" s="15">
        <v>1</v>
      </c>
      <c r="G10" s="15">
        <v>1</v>
      </c>
      <c r="H10" s="44">
        <f>1/G10</f>
        <v>1</v>
      </c>
      <c r="I10" s="8"/>
      <c r="J10" s="8"/>
      <c r="K10" s="8"/>
      <c r="L10" s="10"/>
    </row>
    <row r="11" spans="1:12">
      <c r="A11" s="53" t="s">
        <v>147</v>
      </c>
      <c r="B11" s="15">
        <v>1</v>
      </c>
      <c r="C11" s="15">
        <v>9</v>
      </c>
      <c r="D11" s="15">
        <v>0.1</v>
      </c>
      <c r="E11" s="15">
        <v>0</v>
      </c>
      <c r="F11" s="15">
        <v>1</v>
      </c>
      <c r="G11" s="15">
        <v>1</v>
      </c>
      <c r="H11" s="44">
        <f>1/G11</f>
        <v>1</v>
      </c>
      <c r="I11" s="8"/>
      <c r="J11" s="8"/>
      <c r="K11" s="8"/>
      <c r="L11" s="10"/>
    </row>
    <row r="12" spans="1:12">
      <c r="A12" s="7"/>
      <c r="B12" s="15">
        <v>1</v>
      </c>
      <c r="C12" s="15">
        <v>9</v>
      </c>
      <c r="D12" s="15">
        <v>0.1</v>
      </c>
      <c r="E12" s="15">
        <v>1</v>
      </c>
      <c r="F12" s="15">
        <v>2</v>
      </c>
      <c r="G12" s="15">
        <v>3</v>
      </c>
      <c r="H12" s="44">
        <f>1/G12</f>
        <v>0.33333333333333331</v>
      </c>
      <c r="I12" s="8"/>
      <c r="J12" s="8"/>
      <c r="K12" s="8"/>
      <c r="L12" s="10"/>
    </row>
    <row r="13" spans="1:12">
      <c r="A13" s="7"/>
      <c r="B13" s="15">
        <v>1</v>
      </c>
      <c r="C13" s="15">
        <v>9</v>
      </c>
      <c r="D13" s="15">
        <v>0.1</v>
      </c>
      <c r="E13" s="15">
        <v>1</v>
      </c>
      <c r="F13" s="15">
        <v>1</v>
      </c>
      <c r="G13" s="15">
        <v>2</v>
      </c>
      <c r="H13" s="44">
        <f>1/G13</f>
        <v>0.5</v>
      </c>
      <c r="I13" s="8"/>
      <c r="J13" s="8"/>
      <c r="K13" s="8"/>
      <c r="L13" s="10"/>
    </row>
    <row r="14" spans="1:12">
      <c r="A14" s="7"/>
      <c r="B14" s="15">
        <v>1</v>
      </c>
      <c r="C14" s="15">
        <v>9</v>
      </c>
      <c r="D14" s="15">
        <v>0.2</v>
      </c>
      <c r="E14" s="15">
        <v>0</v>
      </c>
      <c r="F14" s="15">
        <v>1</v>
      </c>
      <c r="G14" s="15">
        <v>1</v>
      </c>
      <c r="H14" s="44">
        <f>1/G14</f>
        <v>1</v>
      </c>
      <c r="I14" s="8"/>
      <c r="J14" s="8"/>
      <c r="K14" s="8"/>
      <c r="L14" s="10"/>
    </row>
    <row r="15" spans="1:12">
      <c r="A15" s="7"/>
      <c r="B15" s="15">
        <v>1</v>
      </c>
      <c r="C15" s="15">
        <v>9</v>
      </c>
      <c r="D15" s="15">
        <v>0.1</v>
      </c>
      <c r="E15" s="15">
        <v>1</v>
      </c>
      <c r="F15" s="15">
        <v>0</v>
      </c>
      <c r="G15" s="15">
        <v>1</v>
      </c>
      <c r="H15" s="44">
        <f>1/G15</f>
        <v>1</v>
      </c>
      <c r="I15" s="8"/>
      <c r="J15" s="8"/>
      <c r="K15" s="8"/>
      <c r="L15" s="10"/>
    </row>
    <row r="16" spans="1:12">
      <c r="A16" s="11"/>
      <c r="B16" s="19">
        <v>1</v>
      </c>
      <c r="C16" s="19">
        <v>9</v>
      </c>
      <c r="D16" s="19">
        <v>0.2</v>
      </c>
      <c r="E16" s="19">
        <v>0</v>
      </c>
      <c r="F16" s="19">
        <v>2</v>
      </c>
      <c r="G16" s="19">
        <v>2</v>
      </c>
      <c r="H16" s="46">
        <f>1/G16</f>
        <v>0.5</v>
      </c>
      <c r="I16" s="12"/>
      <c r="J16" s="12"/>
      <c r="K16" s="12">
        <f>SUM(G8:G16)</f>
        <v>14</v>
      </c>
      <c r="L16" s="14">
        <f>SUM(E8:E16)</f>
        <v>5</v>
      </c>
    </row>
    <row r="17" spans="1:12">
      <c r="A17" s="3" t="s">
        <v>143</v>
      </c>
      <c r="B17" s="17">
        <v>2</v>
      </c>
      <c r="C17" s="17">
        <v>9</v>
      </c>
      <c r="D17" s="17">
        <v>0.2</v>
      </c>
      <c r="E17" s="17">
        <v>1</v>
      </c>
      <c r="F17" s="17">
        <v>0</v>
      </c>
      <c r="G17" s="17">
        <v>1</v>
      </c>
      <c r="H17" s="45">
        <f>1/G17</f>
        <v>1</v>
      </c>
      <c r="I17" s="41">
        <f>6/7</f>
        <v>0.8571428571428571</v>
      </c>
      <c r="J17" s="41">
        <f>11/7</f>
        <v>1.5714285714285714</v>
      </c>
      <c r="K17" s="4">
        <v>7</v>
      </c>
      <c r="L17" s="6">
        <v>5</v>
      </c>
    </row>
    <row r="18" spans="1:12">
      <c r="A18" s="7" t="s">
        <v>149</v>
      </c>
      <c r="B18" s="15">
        <v>2</v>
      </c>
      <c r="C18" s="15">
        <v>9</v>
      </c>
      <c r="D18" s="15">
        <v>0.2</v>
      </c>
      <c r="E18" s="15">
        <v>1</v>
      </c>
      <c r="F18" s="15">
        <v>0</v>
      </c>
      <c r="G18" s="15">
        <v>1</v>
      </c>
      <c r="H18" s="44">
        <f>1/G18</f>
        <v>1</v>
      </c>
      <c r="I18" s="8"/>
      <c r="J18" s="8"/>
      <c r="K18" s="8"/>
      <c r="L18" s="10"/>
    </row>
    <row r="19" spans="1:12">
      <c r="A19" s="52" t="s">
        <v>150</v>
      </c>
      <c r="B19" s="15">
        <v>2</v>
      </c>
      <c r="C19" s="15">
        <v>9</v>
      </c>
      <c r="D19" s="15">
        <v>0.1</v>
      </c>
      <c r="E19" s="15">
        <v>1</v>
      </c>
      <c r="F19" s="15">
        <v>1</v>
      </c>
      <c r="G19" s="15">
        <v>2</v>
      </c>
      <c r="H19" s="44">
        <f>1/G19</f>
        <v>0.5</v>
      </c>
      <c r="I19" s="8"/>
      <c r="J19" s="8"/>
      <c r="K19" s="8"/>
      <c r="L19" s="10"/>
    </row>
    <row r="20" spans="1:12">
      <c r="A20" s="7" t="s">
        <v>147</v>
      </c>
      <c r="B20" s="15">
        <v>2</v>
      </c>
      <c r="C20" s="15">
        <v>9</v>
      </c>
      <c r="D20" s="15">
        <v>0.1</v>
      </c>
      <c r="E20" s="15">
        <v>1</v>
      </c>
      <c r="F20" s="15">
        <v>0</v>
      </c>
      <c r="G20" s="15">
        <v>1</v>
      </c>
      <c r="H20" s="44">
        <f>1/G20</f>
        <v>1</v>
      </c>
      <c r="I20" s="8"/>
      <c r="J20" s="8"/>
      <c r="K20" s="8"/>
      <c r="L20" s="10"/>
    </row>
    <row r="21" spans="1:12">
      <c r="A21" s="7"/>
      <c r="B21" s="15">
        <v>2</v>
      </c>
      <c r="C21" s="15">
        <v>9</v>
      </c>
      <c r="D21" s="15">
        <v>0.2</v>
      </c>
      <c r="E21" s="15">
        <v>0</v>
      </c>
      <c r="F21" s="15">
        <v>1</v>
      </c>
      <c r="G21" s="15">
        <v>1</v>
      </c>
      <c r="H21" s="44">
        <f>1/G21</f>
        <v>1</v>
      </c>
      <c r="I21" s="8"/>
      <c r="J21" s="8"/>
      <c r="K21" s="8"/>
      <c r="L21" s="10"/>
    </row>
    <row r="22" spans="1:12">
      <c r="A22" s="11"/>
      <c r="B22" s="19">
        <v>2</v>
      </c>
      <c r="C22" s="19">
        <v>9</v>
      </c>
      <c r="D22" s="19">
        <v>0.3</v>
      </c>
      <c r="E22" s="19">
        <v>1</v>
      </c>
      <c r="F22" s="19">
        <v>0</v>
      </c>
      <c r="G22" s="19">
        <v>1</v>
      </c>
      <c r="H22" s="46">
        <f>1/G22</f>
        <v>1</v>
      </c>
      <c r="I22" s="12"/>
      <c r="J22" s="12"/>
      <c r="K22" s="12">
        <f>SUM(G17:G22)</f>
        <v>7</v>
      </c>
      <c r="L22" s="14">
        <f>SUM(E17:E22)</f>
        <v>5</v>
      </c>
    </row>
    <row r="23" spans="1:12">
      <c r="A23" s="54" t="s">
        <v>143</v>
      </c>
      <c r="B23" s="17">
        <v>3</v>
      </c>
      <c r="C23" s="17">
        <v>9</v>
      </c>
      <c r="D23" s="17">
        <v>0.2</v>
      </c>
      <c r="E23" s="17">
        <v>0</v>
      </c>
      <c r="F23" s="17">
        <v>1</v>
      </c>
      <c r="G23" s="17">
        <v>1</v>
      </c>
      <c r="H23" s="45">
        <f>1/G23</f>
        <v>1</v>
      </c>
      <c r="I23" s="41">
        <f>5/5</f>
        <v>1</v>
      </c>
      <c r="J23" s="41">
        <f>8/5</f>
        <v>1.6</v>
      </c>
      <c r="K23" s="4">
        <v>5</v>
      </c>
      <c r="L23" s="6">
        <v>3</v>
      </c>
    </row>
    <row r="24" spans="1:12">
      <c r="A24" s="53" t="s">
        <v>32</v>
      </c>
      <c r="B24" s="15">
        <v>3</v>
      </c>
      <c r="C24" s="15">
        <v>9</v>
      </c>
      <c r="D24" s="15">
        <v>0.2</v>
      </c>
      <c r="E24" s="15">
        <v>1</v>
      </c>
      <c r="F24" s="15">
        <v>0</v>
      </c>
      <c r="G24" s="15">
        <v>1</v>
      </c>
      <c r="H24" s="44">
        <f>1/G24</f>
        <v>1</v>
      </c>
      <c r="I24" s="8"/>
      <c r="J24" s="8"/>
      <c r="K24" s="8"/>
      <c r="L24" s="10"/>
    </row>
    <row r="25" spans="1:12">
      <c r="A25" s="52" t="s">
        <v>151</v>
      </c>
      <c r="B25" s="15">
        <v>3</v>
      </c>
      <c r="C25" s="15">
        <v>9</v>
      </c>
      <c r="D25" s="15">
        <v>0.1</v>
      </c>
      <c r="E25" s="15">
        <v>1</v>
      </c>
      <c r="F25" s="15">
        <v>0</v>
      </c>
      <c r="G25" s="15">
        <v>1</v>
      </c>
      <c r="H25" s="44">
        <f>1/G25</f>
        <v>1</v>
      </c>
      <c r="I25" s="8"/>
      <c r="J25" s="8"/>
      <c r="K25" s="8"/>
      <c r="L25" s="10"/>
    </row>
    <row r="26" spans="1:12">
      <c r="A26" s="53" t="s">
        <v>147</v>
      </c>
      <c r="B26" s="15">
        <v>3</v>
      </c>
      <c r="C26" s="15">
        <v>9</v>
      </c>
      <c r="D26" s="15">
        <v>0.2</v>
      </c>
      <c r="E26" s="15">
        <v>1</v>
      </c>
      <c r="F26" s="15">
        <v>0</v>
      </c>
      <c r="G26" s="15">
        <v>1</v>
      </c>
      <c r="H26" s="44">
        <f>1/G26</f>
        <v>1</v>
      </c>
      <c r="I26" s="8"/>
      <c r="J26" s="8"/>
      <c r="K26" s="8"/>
      <c r="L26" s="10"/>
    </row>
    <row r="27" spans="1:12">
      <c r="A27" s="11"/>
      <c r="B27" s="19">
        <v>3</v>
      </c>
      <c r="C27" s="19">
        <v>9</v>
      </c>
      <c r="D27" s="19">
        <v>0.1</v>
      </c>
      <c r="E27" s="19">
        <v>0</v>
      </c>
      <c r="F27" s="12">
        <v>1</v>
      </c>
      <c r="G27" s="19">
        <v>1</v>
      </c>
      <c r="H27" s="46">
        <f>1/G27</f>
        <v>1</v>
      </c>
      <c r="I27" s="12"/>
      <c r="J27" s="12"/>
      <c r="K27" s="12">
        <f>SUM(G23:G27)</f>
        <v>5</v>
      </c>
      <c r="L27" s="14">
        <f>SUM(E23:E27)</f>
        <v>3</v>
      </c>
    </row>
    <row r="28" spans="1:12">
      <c r="A28" s="54" t="s">
        <v>143</v>
      </c>
      <c r="B28" s="17">
        <v>4</v>
      </c>
      <c r="C28" s="17">
        <v>9</v>
      </c>
      <c r="D28" s="17">
        <v>0.1</v>
      </c>
      <c r="E28" s="17">
        <v>1</v>
      </c>
      <c r="F28" s="17">
        <v>0</v>
      </c>
      <c r="G28" s="17">
        <v>1</v>
      </c>
      <c r="H28" s="45">
        <f>1/G28</f>
        <v>1</v>
      </c>
      <c r="I28" s="41">
        <f>7/15</f>
        <v>0.46666666666666667</v>
      </c>
      <c r="J28" s="41">
        <f>12/15</f>
        <v>0.8</v>
      </c>
      <c r="K28" s="4">
        <v>15</v>
      </c>
      <c r="L28" s="6">
        <v>5</v>
      </c>
    </row>
    <row r="29" spans="1:12">
      <c r="A29" s="53" t="s">
        <v>33</v>
      </c>
      <c r="B29" s="15">
        <v>4</v>
      </c>
      <c r="C29" s="15">
        <v>9</v>
      </c>
      <c r="D29" s="15">
        <v>0.2</v>
      </c>
      <c r="E29" s="15">
        <v>0</v>
      </c>
      <c r="F29" s="15">
        <v>3</v>
      </c>
      <c r="G29" s="15">
        <v>3</v>
      </c>
      <c r="H29" s="44">
        <f>1/G29</f>
        <v>0.33333333333333331</v>
      </c>
      <c r="I29" s="8"/>
      <c r="J29" s="8"/>
      <c r="K29" s="8"/>
      <c r="L29" s="10"/>
    </row>
    <row r="30" spans="1:12">
      <c r="A30" s="52" t="s">
        <v>152</v>
      </c>
      <c r="B30" s="15">
        <v>4</v>
      </c>
      <c r="C30" s="15">
        <v>9</v>
      </c>
      <c r="D30" s="15">
        <v>0.1</v>
      </c>
      <c r="E30" s="15">
        <v>1</v>
      </c>
      <c r="F30" s="15">
        <v>0</v>
      </c>
      <c r="G30" s="15">
        <v>1</v>
      </c>
      <c r="H30" s="44">
        <f>1/G30</f>
        <v>1</v>
      </c>
      <c r="I30" s="8"/>
      <c r="J30" s="8"/>
      <c r="K30" s="8"/>
      <c r="L30" s="10"/>
    </row>
    <row r="31" spans="1:12">
      <c r="A31" s="53" t="s">
        <v>147</v>
      </c>
      <c r="B31" s="15">
        <v>4</v>
      </c>
      <c r="C31" s="15">
        <v>9</v>
      </c>
      <c r="D31" s="15">
        <v>0.1</v>
      </c>
      <c r="E31" s="15">
        <v>1</v>
      </c>
      <c r="F31" s="15">
        <v>0</v>
      </c>
      <c r="G31" s="15">
        <v>1</v>
      </c>
      <c r="H31" s="44">
        <f>1/G31</f>
        <v>1</v>
      </c>
      <c r="I31" s="8"/>
      <c r="J31" s="8"/>
      <c r="K31" s="8"/>
      <c r="L31" s="10"/>
    </row>
    <row r="32" spans="1:12">
      <c r="A32" s="7"/>
      <c r="B32" s="15">
        <v>4</v>
      </c>
      <c r="C32" s="15">
        <v>9</v>
      </c>
      <c r="D32" s="15">
        <v>0.1</v>
      </c>
      <c r="E32" s="15">
        <v>1</v>
      </c>
      <c r="F32" s="15">
        <v>1</v>
      </c>
      <c r="G32" s="15">
        <v>2</v>
      </c>
      <c r="H32" s="44">
        <f>1/G32</f>
        <v>0.5</v>
      </c>
      <c r="I32" s="8"/>
      <c r="J32" s="8"/>
      <c r="K32" s="8"/>
      <c r="L32" s="10"/>
    </row>
    <row r="33" spans="1:12">
      <c r="A33" s="7"/>
      <c r="B33" s="15">
        <v>4</v>
      </c>
      <c r="C33" s="15">
        <v>9</v>
      </c>
      <c r="D33" s="15">
        <v>0.2</v>
      </c>
      <c r="E33" s="15">
        <v>0</v>
      </c>
      <c r="F33" s="15">
        <v>6</v>
      </c>
      <c r="G33" s="15">
        <v>6</v>
      </c>
      <c r="H33" s="44">
        <f>1/G33</f>
        <v>0.16666666666666666</v>
      </c>
      <c r="I33" s="8"/>
      <c r="J33" s="8"/>
      <c r="K33" s="8"/>
      <c r="L33" s="10"/>
    </row>
    <row r="34" spans="1:12">
      <c r="A34" s="11"/>
      <c r="B34" s="19">
        <v>4</v>
      </c>
      <c r="C34" s="19">
        <v>9</v>
      </c>
      <c r="D34" s="19">
        <v>0.4</v>
      </c>
      <c r="E34" s="19">
        <v>1</v>
      </c>
      <c r="F34" s="19">
        <v>0</v>
      </c>
      <c r="G34" s="19">
        <v>1</v>
      </c>
      <c r="H34" s="46">
        <f>1/G34</f>
        <v>1</v>
      </c>
      <c r="I34" s="12"/>
      <c r="J34" s="12"/>
      <c r="K34" s="12">
        <f>SUM(G28:G34)</f>
        <v>15</v>
      </c>
      <c r="L34" s="14">
        <f>SUM(E28:E34)</f>
        <v>5</v>
      </c>
    </row>
    <row r="35" spans="1:12">
      <c r="A35" s="3" t="s">
        <v>153</v>
      </c>
      <c r="B35" s="17">
        <v>5</v>
      </c>
      <c r="C35" s="17">
        <v>16</v>
      </c>
      <c r="D35" s="17">
        <v>0.2</v>
      </c>
      <c r="E35" s="17">
        <v>1</v>
      </c>
      <c r="F35" s="17">
        <v>0</v>
      </c>
      <c r="G35" s="17">
        <v>1</v>
      </c>
      <c r="H35" s="45">
        <f>1/G35</f>
        <v>1</v>
      </c>
      <c r="I35" s="41">
        <f>4/5</f>
        <v>0.8</v>
      </c>
      <c r="J35" s="41">
        <f>9/5</f>
        <v>1.8</v>
      </c>
      <c r="K35" s="4">
        <v>5</v>
      </c>
      <c r="L35" s="6">
        <v>1</v>
      </c>
    </row>
    <row r="36" spans="1:12">
      <c r="A36" s="7" t="s">
        <v>154</v>
      </c>
      <c r="B36" s="15">
        <v>5</v>
      </c>
      <c r="C36" s="15">
        <v>16</v>
      </c>
      <c r="D36" s="15">
        <v>0.3</v>
      </c>
      <c r="E36" s="15">
        <v>0</v>
      </c>
      <c r="F36" s="15">
        <v>2</v>
      </c>
      <c r="G36" s="15">
        <v>2</v>
      </c>
      <c r="H36" s="44">
        <f>1/G36</f>
        <v>0.5</v>
      </c>
      <c r="I36" s="8"/>
      <c r="J36" s="8"/>
      <c r="K36" s="8"/>
      <c r="L36" s="10"/>
    </row>
    <row r="37" spans="1:12">
      <c r="A37" s="52" t="s">
        <v>145</v>
      </c>
      <c r="B37" s="15">
        <v>5</v>
      </c>
      <c r="C37" s="15">
        <v>16</v>
      </c>
      <c r="D37" s="15">
        <v>0.2</v>
      </c>
      <c r="E37" s="15">
        <v>0</v>
      </c>
      <c r="F37" s="15">
        <v>1</v>
      </c>
      <c r="G37" s="15">
        <v>1</v>
      </c>
      <c r="H37" s="44">
        <f>1/G37</f>
        <v>1</v>
      </c>
      <c r="I37" s="8"/>
      <c r="J37" s="8"/>
      <c r="K37" s="8"/>
      <c r="L37" s="10"/>
    </row>
    <row r="38" spans="1:12">
      <c r="A38" s="52" t="s">
        <v>150</v>
      </c>
      <c r="B38" s="15">
        <v>5</v>
      </c>
      <c r="C38" s="15">
        <v>16</v>
      </c>
      <c r="D38" s="15">
        <v>0.2</v>
      </c>
      <c r="E38" s="15">
        <v>0</v>
      </c>
      <c r="F38" s="15">
        <v>1</v>
      </c>
      <c r="G38" s="15">
        <v>1</v>
      </c>
      <c r="H38" s="44">
        <f>1/G38</f>
        <v>1</v>
      </c>
      <c r="I38" s="8"/>
      <c r="J38" s="8"/>
      <c r="K38" s="8"/>
      <c r="L38" s="10"/>
    </row>
    <row r="39" spans="1:12">
      <c r="A39" s="52" t="s">
        <v>146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10"/>
    </row>
    <row r="40" spans="1:12">
      <c r="A40" s="57" t="s">
        <v>147</v>
      </c>
      <c r="B40" s="8"/>
      <c r="C40" s="8"/>
      <c r="D40" s="8"/>
      <c r="E40" s="8"/>
      <c r="F40" s="8"/>
      <c r="G40" s="8"/>
      <c r="H40" s="8"/>
      <c r="I40" s="8"/>
      <c r="J40" s="8"/>
      <c r="K40" s="8">
        <f>SUM(G35:G38)</f>
        <v>5</v>
      </c>
      <c r="L40" s="10">
        <f>SUM(E35:E38)</f>
        <v>1</v>
      </c>
    </row>
    <row r="41" spans="1:12">
      <c r="A41" s="58" t="s">
        <v>153</v>
      </c>
      <c r="B41" s="17">
        <v>6</v>
      </c>
      <c r="C41" s="17">
        <v>16</v>
      </c>
      <c r="D41" s="17">
        <v>0.2</v>
      </c>
      <c r="E41" s="17">
        <v>0</v>
      </c>
      <c r="F41" s="17">
        <v>1</v>
      </c>
      <c r="G41" s="17">
        <v>1</v>
      </c>
      <c r="H41" s="41">
        <f>1/G41</f>
        <v>1</v>
      </c>
      <c r="I41" s="41">
        <f>6/8</f>
        <v>0.75</v>
      </c>
      <c r="J41" s="41">
        <f>9/8</f>
        <v>1.125</v>
      </c>
      <c r="K41" s="4">
        <v>8</v>
      </c>
      <c r="L41" s="6">
        <v>3</v>
      </c>
    </row>
    <row r="42" spans="1:12">
      <c r="A42" s="57" t="s">
        <v>156</v>
      </c>
      <c r="B42" s="15">
        <v>6</v>
      </c>
      <c r="C42" s="15">
        <v>16</v>
      </c>
      <c r="D42" s="15">
        <v>0.2</v>
      </c>
      <c r="E42" s="15">
        <v>1</v>
      </c>
      <c r="F42" s="15">
        <v>0</v>
      </c>
      <c r="G42" s="15">
        <v>1</v>
      </c>
      <c r="H42" s="42">
        <f>1/G42</f>
        <v>1</v>
      </c>
      <c r="I42" s="8"/>
      <c r="J42" s="8"/>
      <c r="K42" s="8"/>
      <c r="L42" s="10"/>
    </row>
    <row r="43" spans="1:12">
      <c r="A43" s="52" t="s">
        <v>145</v>
      </c>
      <c r="B43" s="15">
        <v>6</v>
      </c>
      <c r="C43" s="15">
        <v>16</v>
      </c>
      <c r="D43" s="15">
        <v>0.1</v>
      </c>
      <c r="E43" s="15">
        <v>0</v>
      </c>
      <c r="F43" s="15">
        <v>1</v>
      </c>
      <c r="G43" s="15">
        <v>1</v>
      </c>
      <c r="H43" s="42">
        <f>1/G43</f>
        <v>1</v>
      </c>
      <c r="I43" s="8"/>
      <c r="J43" s="8"/>
      <c r="K43" s="8"/>
      <c r="L43" s="10"/>
    </row>
    <row r="44" spans="1:12">
      <c r="A44" s="52" t="s">
        <v>150</v>
      </c>
      <c r="B44" s="15">
        <v>6</v>
      </c>
      <c r="C44" s="15">
        <v>16</v>
      </c>
      <c r="D44" s="15">
        <v>0.1</v>
      </c>
      <c r="E44" s="15">
        <v>1</v>
      </c>
      <c r="F44" s="15">
        <v>0</v>
      </c>
      <c r="G44" s="15">
        <v>1</v>
      </c>
      <c r="H44" s="42">
        <f>1/G44</f>
        <v>1</v>
      </c>
      <c r="I44" s="8"/>
      <c r="J44" s="8"/>
      <c r="K44" s="8"/>
      <c r="L44" s="10"/>
    </row>
    <row r="45" spans="1:12">
      <c r="A45" s="57" t="s">
        <v>147</v>
      </c>
      <c r="B45" s="15">
        <v>6</v>
      </c>
      <c r="C45" s="15">
        <v>16</v>
      </c>
      <c r="D45" s="15">
        <v>0.2</v>
      </c>
      <c r="E45" s="15">
        <v>0</v>
      </c>
      <c r="F45" s="15">
        <v>3</v>
      </c>
      <c r="G45" s="15">
        <v>3</v>
      </c>
      <c r="H45" s="42">
        <f>1/G45</f>
        <v>0.33333333333333331</v>
      </c>
      <c r="I45" s="8"/>
      <c r="J45" s="8"/>
      <c r="K45" s="8"/>
      <c r="L45" s="10"/>
    </row>
    <row r="46" spans="1:12">
      <c r="A46" s="11"/>
      <c r="B46" s="19">
        <v>6</v>
      </c>
      <c r="C46" s="19">
        <v>16</v>
      </c>
      <c r="D46" s="19">
        <v>0.1</v>
      </c>
      <c r="E46" s="19">
        <v>1</v>
      </c>
      <c r="F46" s="19">
        <v>0</v>
      </c>
      <c r="G46" s="19">
        <v>1</v>
      </c>
      <c r="H46" s="43">
        <f>1/G46</f>
        <v>1</v>
      </c>
      <c r="I46" s="12"/>
      <c r="J46" s="12"/>
      <c r="K46" s="12">
        <f>SUM(G41:G46)</f>
        <v>8</v>
      </c>
      <c r="L46" s="14">
        <f>SUM(E41:E46)</f>
        <v>3</v>
      </c>
    </row>
    <row r="47" spans="1:12">
      <c r="A47" s="58" t="s">
        <v>153</v>
      </c>
      <c r="B47" s="17">
        <v>7</v>
      </c>
      <c r="C47" s="17">
        <v>16</v>
      </c>
      <c r="D47" s="17">
        <v>0.1</v>
      </c>
      <c r="E47" s="17">
        <v>1</v>
      </c>
      <c r="F47" s="17">
        <v>0</v>
      </c>
      <c r="G47" s="17">
        <v>1</v>
      </c>
      <c r="H47" s="45">
        <f>1/G47</f>
        <v>1</v>
      </c>
      <c r="I47" s="41">
        <f>5/8</f>
        <v>0.625</v>
      </c>
      <c r="J47" s="41">
        <f>10/8</f>
        <v>1.25</v>
      </c>
      <c r="K47" s="4">
        <v>8</v>
      </c>
      <c r="L47" s="6">
        <v>4</v>
      </c>
    </row>
    <row r="48" spans="1:12">
      <c r="A48" s="57" t="s">
        <v>144</v>
      </c>
      <c r="B48" s="15">
        <v>7</v>
      </c>
      <c r="C48" s="15">
        <v>16</v>
      </c>
      <c r="D48" s="15">
        <v>0.2</v>
      </c>
      <c r="E48" s="15">
        <v>1</v>
      </c>
      <c r="F48" s="15">
        <v>1</v>
      </c>
      <c r="G48" s="15">
        <v>2</v>
      </c>
      <c r="H48" s="44">
        <f>1/G48</f>
        <v>0.5</v>
      </c>
      <c r="I48" s="8"/>
      <c r="J48" s="8"/>
      <c r="K48" s="8"/>
      <c r="L48" s="10"/>
    </row>
    <row r="49" spans="1:12">
      <c r="A49" s="52" t="s">
        <v>145</v>
      </c>
      <c r="B49" s="15">
        <v>7</v>
      </c>
      <c r="C49" s="15">
        <v>16</v>
      </c>
      <c r="D49" s="15">
        <v>0.3</v>
      </c>
      <c r="E49" s="15">
        <v>1</v>
      </c>
      <c r="F49" s="15">
        <v>0</v>
      </c>
      <c r="G49" s="15">
        <v>1</v>
      </c>
      <c r="H49" s="44">
        <f>1/G49</f>
        <v>1</v>
      </c>
      <c r="I49" s="8"/>
      <c r="J49" s="8"/>
      <c r="K49" s="8"/>
      <c r="L49" s="10"/>
    </row>
    <row r="50" spans="1:12">
      <c r="A50" s="52" t="s">
        <v>146</v>
      </c>
      <c r="B50" s="15">
        <v>7</v>
      </c>
      <c r="C50" s="15">
        <v>16</v>
      </c>
      <c r="D50" s="15">
        <v>0.2</v>
      </c>
      <c r="E50" s="15">
        <v>1</v>
      </c>
      <c r="F50" s="15">
        <v>2</v>
      </c>
      <c r="G50" s="15">
        <v>3</v>
      </c>
      <c r="H50" s="44">
        <f>1/G50</f>
        <v>0.33333333333333331</v>
      </c>
      <c r="I50" s="8"/>
      <c r="J50" s="8"/>
      <c r="K50" s="8"/>
      <c r="L50" s="10"/>
    </row>
    <row r="51" spans="1:12">
      <c r="A51" s="56" t="s">
        <v>147</v>
      </c>
      <c r="B51" s="19">
        <v>7</v>
      </c>
      <c r="C51" s="19">
        <v>16</v>
      </c>
      <c r="D51" s="19">
        <v>0.2</v>
      </c>
      <c r="E51" s="19">
        <v>0</v>
      </c>
      <c r="F51" s="19">
        <v>1</v>
      </c>
      <c r="G51" s="19">
        <v>1</v>
      </c>
      <c r="H51" s="46">
        <f>1/G51</f>
        <v>1</v>
      </c>
      <c r="I51" s="12"/>
      <c r="J51" s="12"/>
      <c r="K51" s="12">
        <f>SUM(G47:G51)</f>
        <v>8</v>
      </c>
      <c r="L51" s="14">
        <f>SUM(E47:E51)</f>
        <v>4</v>
      </c>
    </row>
    <row r="52" spans="1:12">
      <c r="A52" s="58" t="s">
        <v>153</v>
      </c>
      <c r="B52" s="17">
        <v>8</v>
      </c>
      <c r="C52" s="17">
        <v>16</v>
      </c>
      <c r="D52" s="17">
        <v>0.2</v>
      </c>
      <c r="E52" s="17">
        <v>1</v>
      </c>
      <c r="F52" s="17">
        <v>0</v>
      </c>
      <c r="G52" s="17">
        <v>1</v>
      </c>
      <c r="H52" s="45">
        <f>1/G52</f>
        <v>1</v>
      </c>
      <c r="I52" s="41">
        <f>5/5</f>
        <v>1</v>
      </c>
      <c r="J52" s="41">
        <f>10/5</f>
        <v>2</v>
      </c>
      <c r="K52" s="4">
        <v>5</v>
      </c>
      <c r="L52" s="6">
        <v>3</v>
      </c>
    </row>
    <row r="53" spans="1:12">
      <c r="A53" s="57" t="s">
        <v>148</v>
      </c>
      <c r="B53" s="15">
        <v>8</v>
      </c>
      <c r="C53" s="15">
        <v>16</v>
      </c>
      <c r="D53" s="15">
        <v>0.3</v>
      </c>
      <c r="E53" s="15">
        <v>0</v>
      </c>
      <c r="F53" s="15">
        <v>1</v>
      </c>
      <c r="G53" s="15">
        <v>1</v>
      </c>
      <c r="H53" s="44">
        <f>1/G53</f>
        <v>1</v>
      </c>
      <c r="I53" s="8"/>
      <c r="J53" s="8"/>
      <c r="K53" s="8"/>
      <c r="L53" s="10"/>
    </row>
    <row r="54" spans="1:12">
      <c r="A54" s="52" t="s">
        <v>145</v>
      </c>
      <c r="B54" s="15">
        <v>8</v>
      </c>
      <c r="C54" s="15">
        <v>16</v>
      </c>
      <c r="D54" s="15">
        <v>0.1</v>
      </c>
      <c r="E54" s="15">
        <v>0</v>
      </c>
      <c r="F54" s="15">
        <v>1</v>
      </c>
      <c r="G54" s="15">
        <v>1</v>
      </c>
      <c r="H54" s="44">
        <f>1/G54</f>
        <v>1</v>
      </c>
      <c r="I54" s="8"/>
      <c r="J54" s="8"/>
      <c r="K54" s="8"/>
      <c r="L54" s="10"/>
    </row>
    <row r="55" spans="1:12">
      <c r="A55" s="57" t="s">
        <v>147</v>
      </c>
      <c r="B55" s="15">
        <v>8</v>
      </c>
      <c r="C55" s="15">
        <v>16</v>
      </c>
      <c r="D55" s="15">
        <v>0.2</v>
      </c>
      <c r="E55" s="15">
        <v>1</v>
      </c>
      <c r="F55" s="15">
        <v>0</v>
      </c>
      <c r="G55" s="15">
        <v>1</v>
      </c>
      <c r="H55" s="44">
        <f>1/G55</f>
        <v>1</v>
      </c>
      <c r="I55" s="8"/>
      <c r="J55" s="8"/>
      <c r="K55" s="8"/>
      <c r="L55" s="10"/>
    </row>
    <row r="56" spans="1:12">
      <c r="A56" s="11"/>
      <c r="B56" s="19">
        <v>8</v>
      </c>
      <c r="C56" s="19">
        <v>16</v>
      </c>
      <c r="D56" s="19">
        <v>0.2</v>
      </c>
      <c r="E56" s="19">
        <v>1</v>
      </c>
      <c r="F56" s="19">
        <v>0</v>
      </c>
      <c r="G56" s="19">
        <v>1</v>
      </c>
      <c r="H56" s="46">
        <f>1/G56</f>
        <v>1</v>
      </c>
      <c r="I56" s="12"/>
      <c r="J56" s="12"/>
      <c r="K56" s="12">
        <f>SUM(G52:G56)</f>
        <v>5</v>
      </c>
      <c r="L56" s="14">
        <f>SUM(E52:E56)</f>
        <v>3</v>
      </c>
    </row>
    <row r="57" spans="1:12">
      <c r="A57" s="58" t="s">
        <v>153</v>
      </c>
      <c r="B57" s="17">
        <v>9</v>
      </c>
      <c r="C57" s="17">
        <v>16</v>
      </c>
      <c r="D57" s="17">
        <v>0.1</v>
      </c>
      <c r="E57" s="17">
        <v>1</v>
      </c>
      <c r="F57" s="17">
        <v>0</v>
      </c>
      <c r="G57" s="17">
        <v>1</v>
      </c>
      <c r="H57" s="45">
        <f>1/G57</f>
        <v>1</v>
      </c>
      <c r="I57" s="41">
        <f>5/5</f>
        <v>1</v>
      </c>
      <c r="J57" s="41">
        <f>10/5</f>
        <v>2</v>
      </c>
      <c r="K57" s="4">
        <v>5</v>
      </c>
      <c r="L57" s="6">
        <v>3</v>
      </c>
    </row>
    <row r="58" spans="1:12">
      <c r="A58" s="57" t="s">
        <v>149</v>
      </c>
      <c r="B58" s="15">
        <v>9</v>
      </c>
      <c r="C58" s="15">
        <v>16</v>
      </c>
      <c r="D58" s="15">
        <v>0.3</v>
      </c>
      <c r="E58" s="15">
        <v>0</v>
      </c>
      <c r="F58" s="15">
        <v>1</v>
      </c>
      <c r="G58" s="15">
        <v>1</v>
      </c>
      <c r="H58" s="44">
        <f>1/G58</f>
        <v>1</v>
      </c>
      <c r="I58" s="8"/>
      <c r="J58" s="8"/>
      <c r="K58" s="8"/>
      <c r="L58" s="10"/>
    </row>
    <row r="59" spans="1:12">
      <c r="A59" s="52" t="s">
        <v>150</v>
      </c>
      <c r="B59" s="15">
        <v>9</v>
      </c>
      <c r="C59" s="15">
        <v>16</v>
      </c>
      <c r="D59" s="15">
        <v>0.3</v>
      </c>
      <c r="E59" s="15">
        <v>1</v>
      </c>
      <c r="F59" s="15">
        <v>0</v>
      </c>
      <c r="G59" s="15">
        <v>1</v>
      </c>
      <c r="H59" s="44">
        <f>1/G59</f>
        <v>1</v>
      </c>
      <c r="I59" s="8"/>
      <c r="J59" s="8"/>
      <c r="K59" s="8"/>
      <c r="L59" s="10"/>
    </row>
    <row r="60" spans="1:12">
      <c r="A60" s="57" t="s">
        <v>147</v>
      </c>
      <c r="B60" s="15">
        <v>9</v>
      </c>
      <c r="C60" s="15">
        <v>16</v>
      </c>
      <c r="D60" s="15">
        <v>0.2</v>
      </c>
      <c r="E60" s="15">
        <v>0</v>
      </c>
      <c r="F60" s="15">
        <v>1</v>
      </c>
      <c r="G60" s="15">
        <v>1</v>
      </c>
      <c r="H60" s="44">
        <f>1/G60</f>
        <v>1</v>
      </c>
      <c r="I60" s="8"/>
      <c r="J60" s="8"/>
      <c r="K60" s="8"/>
      <c r="L60" s="10"/>
    </row>
    <row r="61" spans="1:12">
      <c r="A61" s="11"/>
      <c r="B61" s="19">
        <v>9</v>
      </c>
      <c r="C61" s="19">
        <v>16</v>
      </c>
      <c r="D61" s="19">
        <v>0.1</v>
      </c>
      <c r="E61" s="19">
        <v>1</v>
      </c>
      <c r="F61" s="19">
        <v>0</v>
      </c>
      <c r="G61" s="19">
        <v>1</v>
      </c>
      <c r="H61" s="46">
        <f>1/G61</f>
        <v>1</v>
      </c>
      <c r="I61" s="12"/>
      <c r="J61" s="12"/>
      <c r="K61" s="12">
        <f>SUM(G57:G61)</f>
        <v>5</v>
      </c>
      <c r="L61" s="14">
        <f>SUM(E57:E61)</f>
        <v>3</v>
      </c>
    </row>
    <row r="62" spans="1:12">
      <c r="A62" s="58" t="s">
        <v>153</v>
      </c>
      <c r="B62" s="17">
        <v>10</v>
      </c>
      <c r="C62" s="17">
        <v>16</v>
      </c>
      <c r="D62" s="17">
        <v>0.1</v>
      </c>
      <c r="E62" s="17">
        <v>0</v>
      </c>
      <c r="F62" s="17">
        <v>1</v>
      </c>
      <c r="G62" s="17">
        <v>1</v>
      </c>
      <c r="H62" s="45">
        <f>1/G62</f>
        <v>1</v>
      </c>
      <c r="I62" s="41">
        <f>5/8</f>
        <v>0.625</v>
      </c>
      <c r="J62" s="41">
        <f>10/8</f>
        <v>1.25</v>
      </c>
      <c r="K62" s="4">
        <v>8</v>
      </c>
      <c r="L62" s="6">
        <v>3</v>
      </c>
    </row>
    <row r="63" spans="1:12">
      <c r="A63" s="57" t="s">
        <v>32</v>
      </c>
      <c r="B63" s="15">
        <v>10</v>
      </c>
      <c r="C63" s="15">
        <v>16</v>
      </c>
      <c r="D63" s="15">
        <v>0.2</v>
      </c>
      <c r="E63" s="15">
        <v>1</v>
      </c>
      <c r="F63" s="15">
        <v>2</v>
      </c>
      <c r="G63" s="15">
        <v>3</v>
      </c>
      <c r="H63" s="44">
        <f>1/G63</f>
        <v>0.33333333333333331</v>
      </c>
      <c r="I63" s="8"/>
      <c r="J63" s="8"/>
      <c r="K63" s="8"/>
      <c r="L63" s="10"/>
    </row>
    <row r="64" spans="1:12">
      <c r="A64" s="52" t="s">
        <v>151</v>
      </c>
      <c r="B64" s="15">
        <v>10</v>
      </c>
      <c r="C64" s="15">
        <v>16</v>
      </c>
      <c r="D64" s="15">
        <v>0.2</v>
      </c>
      <c r="E64" s="15">
        <v>0</v>
      </c>
      <c r="F64" s="15">
        <v>2</v>
      </c>
      <c r="G64" s="15">
        <v>2</v>
      </c>
      <c r="H64" s="44">
        <f>1/G64</f>
        <v>0.5</v>
      </c>
      <c r="I64" s="8"/>
      <c r="J64" s="8"/>
      <c r="K64" s="8"/>
      <c r="L64" s="10"/>
    </row>
    <row r="65" spans="1:12">
      <c r="A65" s="57" t="s">
        <v>147</v>
      </c>
      <c r="B65" s="15">
        <v>10</v>
      </c>
      <c r="C65" s="15">
        <v>16</v>
      </c>
      <c r="D65" s="15">
        <v>0.3</v>
      </c>
      <c r="E65" s="15">
        <v>1</v>
      </c>
      <c r="F65" s="15">
        <v>0</v>
      </c>
      <c r="G65" s="15">
        <v>1</v>
      </c>
      <c r="H65" s="44">
        <f>1/G65</f>
        <v>1</v>
      </c>
      <c r="I65" s="8"/>
      <c r="J65" s="8"/>
      <c r="K65" s="8"/>
      <c r="L65" s="10"/>
    </row>
    <row r="66" spans="1:12">
      <c r="A66" s="11"/>
      <c r="B66" s="19">
        <v>10</v>
      </c>
      <c r="C66" s="19">
        <v>16</v>
      </c>
      <c r="D66" s="19">
        <v>0.2</v>
      </c>
      <c r="E66" s="19">
        <v>1</v>
      </c>
      <c r="F66" s="19">
        <v>0</v>
      </c>
      <c r="G66" s="19">
        <v>1</v>
      </c>
      <c r="H66" s="46">
        <f>1/G66</f>
        <v>1</v>
      </c>
      <c r="I66" s="12"/>
      <c r="J66" s="12"/>
      <c r="K66" s="12">
        <f>SUM(G62:G66)</f>
        <v>8</v>
      </c>
      <c r="L66" s="14">
        <f>SUM(E62:E66)</f>
        <v>3</v>
      </c>
    </row>
    <row r="67" spans="1:12">
      <c r="A67" s="58" t="s">
        <v>153</v>
      </c>
      <c r="B67" s="17">
        <v>11</v>
      </c>
      <c r="C67" s="17">
        <v>16</v>
      </c>
      <c r="D67" s="17">
        <v>0.3</v>
      </c>
      <c r="E67" s="17">
        <v>1</v>
      </c>
      <c r="F67" s="17">
        <v>0</v>
      </c>
      <c r="G67" s="17">
        <v>1</v>
      </c>
      <c r="H67" s="45">
        <f>1/G67</f>
        <v>1</v>
      </c>
      <c r="I67" s="41">
        <f>7/12</f>
        <v>0.58333333333333337</v>
      </c>
      <c r="J67" s="41">
        <f>11/12</f>
        <v>0.91666666666666663</v>
      </c>
      <c r="K67" s="4">
        <v>12</v>
      </c>
      <c r="L67" s="6">
        <v>8</v>
      </c>
    </row>
    <row r="68" spans="1:12">
      <c r="A68" s="57" t="s">
        <v>33</v>
      </c>
      <c r="B68" s="15">
        <v>11</v>
      </c>
      <c r="C68" s="15">
        <v>16</v>
      </c>
      <c r="D68" s="15">
        <v>0.1</v>
      </c>
      <c r="E68" s="15">
        <v>0</v>
      </c>
      <c r="F68" s="15">
        <v>1</v>
      </c>
      <c r="G68" s="15">
        <v>1</v>
      </c>
      <c r="H68" s="44">
        <f>1/G68</f>
        <v>1</v>
      </c>
      <c r="I68" s="8"/>
      <c r="J68" s="8"/>
      <c r="K68" s="8"/>
      <c r="L68" s="10"/>
    </row>
    <row r="69" spans="1:12">
      <c r="A69" s="52" t="s">
        <v>152</v>
      </c>
      <c r="B69" s="15">
        <v>11</v>
      </c>
      <c r="C69" s="15">
        <v>16</v>
      </c>
      <c r="D69" s="15">
        <v>0.1</v>
      </c>
      <c r="E69" s="15">
        <v>1</v>
      </c>
      <c r="F69" s="15">
        <v>0</v>
      </c>
      <c r="G69" s="15">
        <v>1</v>
      </c>
      <c r="H69" s="44">
        <f>1/G69</f>
        <v>1</v>
      </c>
      <c r="I69" s="8"/>
      <c r="J69" s="8"/>
      <c r="K69" s="8"/>
      <c r="L69" s="10"/>
    </row>
    <row r="70" spans="1:12">
      <c r="A70" s="57" t="s">
        <v>147</v>
      </c>
      <c r="B70" s="15">
        <v>11</v>
      </c>
      <c r="C70" s="15">
        <v>16</v>
      </c>
      <c r="D70" s="15">
        <v>0.1</v>
      </c>
      <c r="E70" s="15">
        <v>3</v>
      </c>
      <c r="F70" s="15">
        <v>3</v>
      </c>
      <c r="G70" s="15">
        <v>6</v>
      </c>
      <c r="H70" s="44">
        <f>1/G70</f>
        <v>0.16666666666666666</v>
      </c>
      <c r="I70" s="8"/>
      <c r="J70" s="8"/>
      <c r="K70" s="8"/>
      <c r="L70" s="10"/>
    </row>
    <row r="71" spans="1:12">
      <c r="A71" s="7"/>
      <c r="B71" s="15">
        <v>11</v>
      </c>
      <c r="C71" s="15">
        <v>16</v>
      </c>
      <c r="D71" s="15">
        <v>0.2</v>
      </c>
      <c r="E71" s="15">
        <v>1</v>
      </c>
      <c r="F71" s="15">
        <v>0</v>
      </c>
      <c r="G71" s="15">
        <v>1</v>
      </c>
      <c r="H71" s="44">
        <f>1/G71</f>
        <v>1</v>
      </c>
      <c r="I71" s="8"/>
      <c r="J71" s="8"/>
      <c r="K71" s="8"/>
      <c r="L71" s="10"/>
    </row>
    <row r="72" spans="1:12">
      <c r="A72" s="7"/>
      <c r="B72" s="15">
        <v>11</v>
      </c>
      <c r="C72" s="15">
        <v>16</v>
      </c>
      <c r="D72" s="15">
        <v>0.1</v>
      </c>
      <c r="E72" s="15">
        <v>1</v>
      </c>
      <c r="F72" s="15">
        <v>0</v>
      </c>
      <c r="G72" s="15">
        <v>1</v>
      </c>
      <c r="H72" s="44">
        <f>1/G72</f>
        <v>1</v>
      </c>
      <c r="I72" s="8"/>
      <c r="J72" s="8"/>
      <c r="K72" s="8"/>
      <c r="L72" s="10"/>
    </row>
    <row r="73" spans="1:12">
      <c r="A73" s="11"/>
      <c r="B73" s="19">
        <v>11</v>
      </c>
      <c r="C73" s="19">
        <v>16</v>
      </c>
      <c r="D73" s="19">
        <v>0.2</v>
      </c>
      <c r="E73" s="19">
        <v>1</v>
      </c>
      <c r="F73" s="19">
        <v>0</v>
      </c>
      <c r="G73" s="19">
        <v>1</v>
      </c>
      <c r="H73" s="46">
        <f>1/G73</f>
        <v>1</v>
      </c>
      <c r="I73" s="12"/>
      <c r="J73" s="12"/>
      <c r="K73" s="12">
        <f>SUM(G67:G73)</f>
        <v>12</v>
      </c>
      <c r="L73" s="14">
        <f>SUM(E67:E73)</f>
        <v>8</v>
      </c>
    </row>
    <row r="74" spans="1:12">
      <c r="A74" s="3" t="s">
        <v>155</v>
      </c>
      <c r="B74" s="17">
        <v>12</v>
      </c>
      <c r="C74" s="17">
        <v>21</v>
      </c>
      <c r="D74" s="17">
        <v>0.2</v>
      </c>
      <c r="E74" s="17">
        <v>1</v>
      </c>
      <c r="F74" s="17">
        <v>1</v>
      </c>
      <c r="G74" s="17">
        <v>2</v>
      </c>
      <c r="H74" s="45">
        <f>1/G74</f>
        <v>0.5</v>
      </c>
      <c r="I74" s="41">
        <f>6/8</f>
        <v>0.75</v>
      </c>
      <c r="J74" s="41">
        <f>10/8</f>
        <v>1.25</v>
      </c>
      <c r="K74" s="4">
        <v>8</v>
      </c>
      <c r="L74" s="6">
        <v>3</v>
      </c>
    </row>
    <row r="75" spans="1:12">
      <c r="A75" s="7" t="s">
        <v>144</v>
      </c>
      <c r="B75" s="15">
        <v>12</v>
      </c>
      <c r="C75" s="15">
        <v>21</v>
      </c>
      <c r="D75" s="15">
        <v>0.1</v>
      </c>
      <c r="E75" s="15">
        <v>1</v>
      </c>
      <c r="F75" s="15">
        <v>0</v>
      </c>
      <c r="G75" s="15">
        <v>1</v>
      </c>
      <c r="H75" s="44">
        <f>1/G75</f>
        <v>1</v>
      </c>
      <c r="I75" s="8"/>
      <c r="J75" s="8"/>
      <c r="K75" s="8"/>
      <c r="L75" s="10"/>
    </row>
    <row r="76" spans="1:12">
      <c r="A76" s="52" t="s">
        <v>145</v>
      </c>
      <c r="B76" s="15">
        <v>12</v>
      </c>
      <c r="C76" s="15">
        <v>21</v>
      </c>
      <c r="D76" s="15">
        <v>0.1</v>
      </c>
      <c r="E76" s="15">
        <v>0</v>
      </c>
      <c r="F76" s="15">
        <v>1</v>
      </c>
      <c r="G76" s="15">
        <v>1</v>
      </c>
      <c r="H76" s="44">
        <f>1/G76</f>
        <v>1</v>
      </c>
      <c r="I76" s="8"/>
      <c r="J76" s="8"/>
      <c r="K76" s="8"/>
      <c r="L76" s="10"/>
    </row>
    <row r="77" spans="1:12">
      <c r="A77" s="52" t="s">
        <v>146</v>
      </c>
      <c r="B77" s="15">
        <v>12</v>
      </c>
      <c r="C77" s="15">
        <v>21</v>
      </c>
      <c r="D77" s="15">
        <v>0.3</v>
      </c>
      <c r="E77" s="15">
        <v>0</v>
      </c>
      <c r="F77" s="15">
        <v>1</v>
      </c>
      <c r="G77" s="15">
        <v>1</v>
      </c>
      <c r="H77" s="44">
        <f>1/G77</f>
        <v>1</v>
      </c>
      <c r="I77" s="8"/>
      <c r="J77" s="8"/>
      <c r="K77" s="8"/>
      <c r="L77" s="10"/>
    </row>
    <row r="78" spans="1:12">
      <c r="A78" s="57" t="s">
        <v>147</v>
      </c>
      <c r="B78" s="15">
        <v>12</v>
      </c>
      <c r="C78" s="15">
        <v>21</v>
      </c>
      <c r="D78" s="15">
        <v>0.1</v>
      </c>
      <c r="E78" s="15">
        <v>0</v>
      </c>
      <c r="F78" s="15">
        <v>2</v>
      </c>
      <c r="G78" s="15">
        <v>2</v>
      </c>
      <c r="H78" s="44">
        <f>1/G78</f>
        <v>0.5</v>
      </c>
      <c r="I78" s="8"/>
      <c r="J78" s="8"/>
      <c r="K78" s="8"/>
      <c r="L78" s="10"/>
    </row>
    <row r="79" spans="1:12">
      <c r="A79" s="11"/>
      <c r="B79" s="19">
        <v>12</v>
      </c>
      <c r="C79" s="19">
        <v>21</v>
      </c>
      <c r="D79" s="19">
        <v>0.2</v>
      </c>
      <c r="E79" s="19">
        <v>1</v>
      </c>
      <c r="F79" s="19">
        <v>0</v>
      </c>
      <c r="G79" s="19">
        <v>1</v>
      </c>
      <c r="H79" s="46">
        <f>1/G79</f>
        <v>1</v>
      </c>
      <c r="I79" s="12"/>
      <c r="J79" s="12"/>
      <c r="K79" s="12">
        <f>SUM(G74:G79)</f>
        <v>8</v>
      </c>
      <c r="L79" s="14">
        <f>SUM(E74:E79)</f>
        <v>3</v>
      </c>
    </row>
    <row r="80" spans="1:12">
      <c r="A80" s="58" t="s">
        <v>155</v>
      </c>
      <c r="B80" s="17">
        <v>13</v>
      </c>
      <c r="C80" s="17">
        <v>21</v>
      </c>
      <c r="D80" s="17">
        <v>0.2</v>
      </c>
      <c r="E80" s="17">
        <v>1</v>
      </c>
      <c r="F80" s="17">
        <v>2</v>
      </c>
      <c r="G80" s="17">
        <v>3</v>
      </c>
      <c r="H80" s="45">
        <f>1/G80</f>
        <v>0.33333333333333331</v>
      </c>
      <c r="I80" s="41">
        <f>4/6</f>
        <v>0.66666666666666663</v>
      </c>
      <c r="J80" s="41">
        <f>9/6</f>
        <v>1.5</v>
      </c>
      <c r="K80" s="4">
        <v>6</v>
      </c>
      <c r="L80" s="6">
        <v>3</v>
      </c>
    </row>
    <row r="81" spans="1:12">
      <c r="A81" s="57" t="s">
        <v>148</v>
      </c>
      <c r="B81" s="15">
        <v>13</v>
      </c>
      <c r="C81" s="15">
        <v>21</v>
      </c>
      <c r="D81" s="15">
        <v>0.1</v>
      </c>
      <c r="E81" s="15">
        <v>1</v>
      </c>
      <c r="F81" s="15">
        <v>0</v>
      </c>
      <c r="G81" s="15">
        <v>1</v>
      </c>
      <c r="H81" s="44">
        <f>1/G81</f>
        <v>1</v>
      </c>
      <c r="I81" s="8"/>
      <c r="J81" s="8"/>
      <c r="K81" s="8"/>
      <c r="L81" s="10"/>
    </row>
    <row r="82" spans="1:12">
      <c r="A82" s="52" t="s">
        <v>145</v>
      </c>
      <c r="B82" s="15">
        <v>13</v>
      </c>
      <c r="C82" s="15">
        <v>21</v>
      </c>
      <c r="D82" s="15">
        <v>0.2</v>
      </c>
      <c r="E82" s="15">
        <v>0</v>
      </c>
      <c r="F82" s="15">
        <v>1</v>
      </c>
      <c r="G82" s="15">
        <v>1</v>
      </c>
      <c r="H82" s="44">
        <f>1/G82</f>
        <v>1</v>
      </c>
      <c r="I82" s="8"/>
      <c r="J82" s="8"/>
      <c r="K82" s="8"/>
      <c r="L82" s="10"/>
    </row>
    <row r="83" spans="1:12">
      <c r="A83" s="56" t="s">
        <v>147</v>
      </c>
      <c r="B83" s="19">
        <v>13</v>
      </c>
      <c r="C83" s="19">
        <v>21</v>
      </c>
      <c r="D83" s="19">
        <v>0.4</v>
      </c>
      <c r="E83" s="19">
        <v>1</v>
      </c>
      <c r="F83" s="19">
        <v>0</v>
      </c>
      <c r="G83" s="19">
        <v>1</v>
      </c>
      <c r="H83" s="46">
        <f>1/G83</f>
        <v>1</v>
      </c>
      <c r="I83" s="12"/>
      <c r="J83" s="12"/>
      <c r="K83" s="12">
        <f>SUM(G80:G83)</f>
        <v>6</v>
      </c>
      <c r="L83" s="14">
        <f>SUM(E80:E83)</f>
        <v>3</v>
      </c>
    </row>
    <row r="84" spans="1:12">
      <c r="A84" s="58" t="s">
        <v>155</v>
      </c>
      <c r="B84" s="17">
        <v>14</v>
      </c>
      <c r="C84" s="17">
        <v>21</v>
      </c>
      <c r="D84" s="17">
        <v>0.1</v>
      </c>
      <c r="E84" s="17">
        <v>0</v>
      </c>
      <c r="F84" s="17">
        <v>2</v>
      </c>
      <c r="G84" s="17">
        <v>2</v>
      </c>
      <c r="H84" s="45">
        <f>1/G84</f>
        <v>0.5</v>
      </c>
      <c r="I84" s="41">
        <f>7/13</f>
        <v>0.53846153846153844</v>
      </c>
      <c r="J84" s="41">
        <f>10/13</f>
        <v>0.76923076923076927</v>
      </c>
      <c r="K84" s="4">
        <v>13</v>
      </c>
      <c r="L84" s="6">
        <v>5</v>
      </c>
    </row>
    <row r="85" spans="1:12">
      <c r="A85" s="57" t="s">
        <v>149</v>
      </c>
      <c r="B85" s="15">
        <v>14</v>
      </c>
      <c r="C85" s="15">
        <v>21</v>
      </c>
      <c r="D85" s="15">
        <v>0.2</v>
      </c>
      <c r="E85" s="15">
        <v>1</v>
      </c>
      <c r="F85" s="15">
        <v>0</v>
      </c>
      <c r="G85" s="15">
        <v>1</v>
      </c>
      <c r="H85" s="44">
        <f>1/G85</f>
        <v>1</v>
      </c>
      <c r="I85" s="8"/>
      <c r="J85" s="8"/>
      <c r="K85" s="8"/>
      <c r="L85" s="10"/>
    </row>
    <row r="86" spans="1:12">
      <c r="A86" s="52" t="s">
        <v>150</v>
      </c>
      <c r="B86" s="15">
        <v>14</v>
      </c>
      <c r="C86" s="15">
        <v>21</v>
      </c>
      <c r="D86" s="15">
        <v>0.1</v>
      </c>
      <c r="E86" s="15">
        <v>0</v>
      </c>
      <c r="F86" s="15">
        <v>2</v>
      </c>
      <c r="G86" s="15">
        <v>2</v>
      </c>
      <c r="H86" s="44">
        <f>1/G86</f>
        <v>0.5</v>
      </c>
      <c r="I86" s="8"/>
      <c r="J86" s="8"/>
      <c r="K86" s="8"/>
      <c r="L86" s="10"/>
    </row>
    <row r="87" spans="1:12">
      <c r="A87" s="57" t="s">
        <v>147</v>
      </c>
      <c r="B87" s="15">
        <v>14</v>
      </c>
      <c r="C87" s="15">
        <v>21</v>
      </c>
      <c r="D87" s="15">
        <v>0.1</v>
      </c>
      <c r="E87" s="15">
        <v>1</v>
      </c>
      <c r="F87" s="15">
        <v>0</v>
      </c>
      <c r="G87" s="15">
        <v>1</v>
      </c>
      <c r="H87" s="44">
        <f>1/G87</f>
        <v>1</v>
      </c>
      <c r="I87" s="8"/>
      <c r="J87" s="8"/>
      <c r="K87" s="8"/>
      <c r="L87" s="10"/>
    </row>
    <row r="88" spans="1:12">
      <c r="A88" s="7"/>
      <c r="B88" s="15">
        <v>14</v>
      </c>
      <c r="C88" s="15">
        <v>21</v>
      </c>
      <c r="D88" s="15">
        <v>0.3</v>
      </c>
      <c r="E88" s="15">
        <v>1</v>
      </c>
      <c r="F88" s="15">
        <v>3</v>
      </c>
      <c r="G88" s="15">
        <v>4</v>
      </c>
      <c r="H88" s="44">
        <f>1/G88</f>
        <v>0.25</v>
      </c>
      <c r="I88" s="8"/>
      <c r="J88" s="8"/>
      <c r="K88" s="8"/>
      <c r="L88" s="10"/>
    </row>
    <row r="89" spans="1:12">
      <c r="A89" s="7"/>
      <c r="B89" s="15">
        <v>14</v>
      </c>
      <c r="C89" s="15">
        <v>21</v>
      </c>
      <c r="D89" s="15">
        <v>0.1</v>
      </c>
      <c r="E89" s="15">
        <v>1</v>
      </c>
      <c r="F89" s="15">
        <v>1</v>
      </c>
      <c r="G89" s="15">
        <v>2</v>
      </c>
      <c r="H89" s="44">
        <f>1/G89</f>
        <v>0.5</v>
      </c>
      <c r="I89" s="8"/>
      <c r="J89" s="8"/>
      <c r="K89" s="8"/>
      <c r="L89" s="10"/>
    </row>
    <row r="90" spans="1:12">
      <c r="A90" s="11"/>
      <c r="B90" s="19">
        <v>14</v>
      </c>
      <c r="C90" s="19">
        <v>21</v>
      </c>
      <c r="D90" s="19">
        <v>0.1</v>
      </c>
      <c r="E90" s="19">
        <v>1</v>
      </c>
      <c r="F90" s="19">
        <v>0</v>
      </c>
      <c r="G90" s="19">
        <v>1</v>
      </c>
      <c r="H90" s="46">
        <f>1/G90</f>
        <v>1</v>
      </c>
      <c r="I90" s="12"/>
      <c r="J90" s="12"/>
      <c r="K90" s="12">
        <f>SUM(G84:G90)</f>
        <v>13</v>
      </c>
      <c r="L90" s="14">
        <f>SUM(E84:E90)</f>
        <v>5</v>
      </c>
    </row>
    <row r="91" spans="1:12">
      <c r="A91" s="3" t="s">
        <v>155</v>
      </c>
      <c r="B91" s="17">
        <v>15</v>
      </c>
      <c r="C91" s="17">
        <v>21</v>
      </c>
      <c r="D91" s="17">
        <v>0.1</v>
      </c>
      <c r="E91" s="17">
        <v>0</v>
      </c>
      <c r="F91" s="17">
        <v>2</v>
      </c>
      <c r="G91" s="17">
        <v>2</v>
      </c>
      <c r="H91" s="45">
        <f>1/G91</f>
        <v>0.5</v>
      </c>
      <c r="I91" s="41">
        <f>8/12</f>
        <v>0.66666666666666663</v>
      </c>
      <c r="J91" s="41">
        <f>10/12</f>
        <v>0.83333333333333337</v>
      </c>
      <c r="K91" s="4">
        <v>12</v>
      </c>
      <c r="L91" s="6">
        <v>4</v>
      </c>
    </row>
    <row r="92" spans="1:12">
      <c r="A92" s="7" t="s">
        <v>32</v>
      </c>
      <c r="B92" s="15">
        <v>15</v>
      </c>
      <c r="C92" s="15">
        <v>21</v>
      </c>
      <c r="D92" s="15">
        <v>0.1</v>
      </c>
      <c r="E92" s="15">
        <v>1</v>
      </c>
      <c r="F92" s="15">
        <v>2</v>
      </c>
      <c r="G92" s="15">
        <v>3</v>
      </c>
      <c r="H92" s="44">
        <f>1/G92</f>
        <v>0.33333333333333331</v>
      </c>
      <c r="I92" s="8"/>
      <c r="J92" s="8"/>
      <c r="K92" s="8"/>
      <c r="L92" s="10"/>
    </row>
    <row r="93" spans="1:12">
      <c r="A93" s="52" t="s">
        <v>151</v>
      </c>
      <c r="B93" s="15">
        <v>15</v>
      </c>
      <c r="C93" s="15">
        <v>21</v>
      </c>
      <c r="D93" s="15">
        <v>0.2</v>
      </c>
      <c r="E93" s="15">
        <v>1</v>
      </c>
      <c r="F93" s="15">
        <v>0</v>
      </c>
      <c r="G93" s="15">
        <v>1</v>
      </c>
      <c r="H93" s="44">
        <f>1/G93</f>
        <v>1</v>
      </c>
      <c r="I93" s="8"/>
      <c r="J93" s="8"/>
      <c r="K93" s="8"/>
      <c r="L93" s="10"/>
    </row>
    <row r="94" spans="1:12">
      <c r="A94" s="7" t="s">
        <v>147</v>
      </c>
      <c r="B94" s="15">
        <v>15</v>
      </c>
      <c r="C94" s="15">
        <v>21</v>
      </c>
      <c r="D94" s="15">
        <v>0.1</v>
      </c>
      <c r="E94" s="15">
        <v>1</v>
      </c>
      <c r="F94" s="15">
        <v>0</v>
      </c>
      <c r="G94" s="15">
        <v>1</v>
      </c>
      <c r="H94" s="44">
        <f>1/G94</f>
        <v>1</v>
      </c>
      <c r="I94" s="8"/>
      <c r="J94" s="8"/>
      <c r="K94" s="8"/>
      <c r="L94" s="10"/>
    </row>
    <row r="95" spans="1:12">
      <c r="A95" s="7"/>
      <c r="B95" s="15">
        <v>15</v>
      </c>
      <c r="C95" s="15">
        <v>21</v>
      </c>
      <c r="D95" s="15">
        <v>0.1</v>
      </c>
      <c r="E95" s="15">
        <v>1</v>
      </c>
      <c r="F95" s="15">
        <v>0</v>
      </c>
      <c r="G95" s="15">
        <v>1</v>
      </c>
      <c r="H95" s="44">
        <f>1/G95</f>
        <v>1</v>
      </c>
      <c r="I95" s="8"/>
      <c r="J95" s="8"/>
      <c r="K95" s="8"/>
      <c r="L95" s="10"/>
    </row>
    <row r="96" spans="1:12">
      <c r="A96" s="7"/>
      <c r="B96" s="15">
        <v>15</v>
      </c>
      <c r="C96" s="15">
        <v>21</v>
      </c>
      <c r="D96" s="15">
        <v>0.1</v>
      </c>
      <c r="E96" s="15">
        <v>0</v>
      </c>
      <c r="F96" s="15">
        <v>1</v>
      </c>
      <c r="G96" s="15">
        <v>1</v>
      </c>
      <c r="H96" s="44">
        <f>1/G96</f>
        <v>1</v>
      </c>
      <c r="I96" s="8"/>
      <c r="J96" s="8"/>
      <c r="K96" s="8"/>
      <c r="L96" s="10"/>
    </row>
    <row r="97" spans="1:12">
      <c r="A97" s="7"/>
      <c r="B97" s="15">
        <v>15</v>
      </c>
      <c r="C97" s="15">
        <v>21</v>
      </c>
      <c r="D97" s="15">
        <v>0.1</v>
      </c>
      <c r="E97" s="15">
        <v>0</v>
      </c>
      <c r="F97" s="15">
        <v>1</v>
      </c>
      <c r="G97" s="15">
        <v>1</v>
      </c>
      <c r="H97" s="44">
        <f>1/G97</f>
        <v>1</v>
      </c>
      <c r="I97" s="8"/>
      <c r="J97" s="8"/>
      <c r="K97" s="8"/>
      <c r="L97" s="10"/>
    </row>
    <row r="98" spans="1:12">
      <c r="A98" s="11"/>
      <c r="B98" s="19">
        <v>15</v>
      </c>
      <c r="C98" s="19">
        <v>21</v>
      </c>
      <c r="D98" s="19">
        <v>0.2</v>
      </c>
      <c r="E98" s="19">
        <v>0</v>
      </c>
      <c r="F98" s="19">
        <v>2</v>
      </c>
      <c r="G98" s="19">
        <v>2</v>
      </c>
      <c r="H98" s="46">
        <f>1/G98</f>
        <v>0.5</v>
      </c>
      <c r="I98" s="12"/>
      <c r="J98" s="12"/>
      <c r="K98" s="12">
        <f>SUM(G91:G98)</f>
        <v>12</v>
      </c>
      <c r="L98" s="14">
        <f>SUM(E91:E98)</f>
        <v>4</v>
      </c>
    </row>
    <row r="99" spans="1:12">
      <c r="A99" s="3" t="s">
        <v>155</v>
      </c>
      <c r="B99" s="17">
        <v>16</v>
      </c>
      <c r="C99" s="17">
        <v>21</v>
      </c>
      <c r="D99" s="17">
        <v>0.1</v>
      </c>
      <c r="E99" s="17">
        <v>1</v>
      </c>
      <c r="F99" s="17">
        <v>0</v>
      </c>
      <c r="G99" s="17">
        <v>1</v>
      </c>
      <c r="H99" s="45">
        <f>1/G99</f>
        <v>1</v>
      </c>
      <c r="I99" s="41">
        <f>6/9</f>
        <v>0.66666666666666663</v>
      </c>
      <c r="J99" s="41">
        <f>10/9</f>
        <v>1.1111111111111112</v>
      </c>
      <c r="K99" s="4">
        <v>9</v>
      </c>
      <c r="L99" s="6">
        <v>4</v>
      </c>
    </row>
    <row r="100" spans="1:12">
      <c r="A100" s="7" t="s">
        <v>33</v>
      </c>
      <c r="B100" s="15">
        <v>16</v>
      </c>
      <c r="C100" s="15">
        <v>21</v>
      </c>
      <c r="D100" s="15">
        <v>0.1</v>
      </c>
      <c r="E100" s="15">
        <v>0</v>
      </c>
      <c r="F100" s="15">
        <v>1</v>
      </c>
      <c r="G100" s="15">
        <v>1</v>
      </c>
      <c r="H100" s="44">
        <f>1/G100</f>
        <v>1</v>
      </c>
      <c r="I100" s="8"/>
      <c r="J100" s="8"/>
      <c r="K100" s="8"/>
      <c r="L100" s="10"/>
    </row>
    <row r="101" spans="1:12">
      <c r="A101" s="52" t="s">
        <v>152</v>
      </c>
      <c r="B101" s="15">
        <v>16</v>
      </c>
      <c r="C101" s="15">
        <v>21</v>
      </c>
      <c r="D101" s="15">
        <v>0.1</v>
      </c>
      <c r="E101" s="15">
        <v>1</v>
      </c>
      <c r="F101" s="15">
        <v>0</v>
      </c>
      <c r="G101" s="15">
        <v>1</v>
      </c>
      <c r="H101" s="44">
        <f>1/G101</f>
        <v>1</v>
      </c>
      <c r="I101" s="8"/>
      <c r="J101" s="8"/>
      <c r="K101" s="8"/>
      <c r="L101" s="10"/>
    </row>
    <row r="102" spans="1:12">
      <c r="A102" s="7" t="s">
        <v>147</v>
      </c>
      <c r="B102" s="15">
        <v>16</v>
      </c>
      <c r="C102" s="15">
        <v>21</v>
      </c>
      <c r="D102" s="15">
        <v>0.3</v>
      </c>
      <c r="E102" s="15">
        <v>1</v>
      </c>
      <c r="F102" s="15">
        <v>0</v>
      </c>
      <c r="G102" s="15">
        <v>1</v>
      </c>
      <c r="H102" s="44">
        <f>1/G102</f>
        <v>1</v>
      </c>
      <c r="I102" s="8"/>
      <c r="J102" s="8"/>
      <c r="K102" s="8"/>
      <c r="L102" s="10"/>
    </row>
    <row r="103" spans="1:12">
      <c r="A103" s="7"/>
      <c r="B103" s="15">
        <v>16</v>
      </c>
      <c r="C103" s="15">
        <v>21</v>
      </c>
      <c r="D103" s="15">
        <v>0.1</v>
      </c>
      <c r="E103" s="15">
        <v>1</v>
      </c>
      <c r="F103" s="15">
        <v>0</v>
      </c>
      <c r="G103" s="15">
        <v>1</v>
      </c>
      <c r="H103" s="44">
        <f>1/G103</f>
        <v>1</v>
      </c>
      <c r="I103" s="8"/>
      <c r="J103" s="8"/>
      <c r="K103" s="8"/>
      <c r="L103" s="10"/>
    </row>
    <row r="104" spans="1:12">
      <c r="A104" s="11"/>
      <c r="B104" s="19">
        <v>16</v>
      </c>
      <c r="C104" s="19">
        <v>21</v>
      </c>
      <c r="D104" s="19">
        <v>0.3</v>
      </c>
      <c r="E104" s="19">
        <v>0</v>
      </c>
      <c r="F104" s="19">
        <v>4</v>
      </c>
      <c r="G104" s="19">
        <v>4</v>
      </c>
      <c r="H104" s="46">
        <f>1/G104</f>
        <v>0.25</v>
      </c>
      <c r="I104" s="12"/>
      <c r="J104" s="12"/>
      <c r="K104" s="12">
        <f>SUM(G99:G104)</f>
        <v>9</v>
      </c>
      <c r="L104" s="14">
        <f>SUM(E99:E104)</f>
        <v>4</v>
      </c>
    </row>
    <row r="105" spans="1:12">
      <c r="A105" s="54" t="s">
        <v>157</v>
      </c>
      <c r="B105" s="17">
        <v>17</v>
      </c>
      <c r="C105" s="17">
        <v>25</v>
      </c>
      <c r="D105" s="17">
        <v>0.3</v>
      </c>
      <c r="E105" s="17">
        <v>1</v>
      </c>
      <c r="F105" s="17">
        <v>0</v>
      </c>
      <c r="G105" s="17">
        <v>1</v>
      </c>
      <c r="H105" s="45">
        <f>1/G105</f>
        <v>1</v>
      </c>
      <c r="I105" s="41">
        <f>6/11</f>
        <v>0.54545454545454541</v>
      </c>
      <c r="J105" s="41">
        <f>11/11</f>
        <v>1</v>
      </c>
      <c r="K105" s="4">
        <v>11</v>
      </c>
      <c r="L105" s="6">
        <v>7</v>
      </c>
    </row>
    <row r="106" spans="1:12">
      <c r="A106" s="53" t="s">
        <v>148</v>
      </c>
      <c r="B106" s="15">
        <v>17</v>
      </c>
      <c r="C106" s="15">
        <v>25</v>
      </c>
      <c r="D106" s="15">
        <v>0.2</v>
      </c>
      <c r="E106" s="15">
        <v>1</v>
      </c>
      <c r="F106" s="15">
        <v>0</v>
      </c>
      <c r="G106" s="15">
        <v>1</v>
      </c>
      <c r="H106" s="44">
        <f>1/G106</f>
        <v>1</v>
      </c>
      <c r="I106" s="8"/>
      <c r="J106" s="8"/>
      <c r="K106" s="8"/>
      <c r="L106" s="10"/>
    </row>
    <row r="107" spans="1:12">
      <c r="A107" s="52" t="s">
        <v>145</v>
      </c>
      <c r="B107" s="15">
        <v>17</v>
      </c>
      <c r="C107" s="15">
        <v>25</v>
      </c>
      <c r="D107" s="15">
        <v>0.1</v>
      </c>
      <c r="E107" s="15">
        <v>1</v>
      </c>
      <c r="F107" s="15">
        <v>2</v>
      </c>
      <c r="G107" s="15">
        <v>3</v>
      </c>
      <c r="H107" s="44">
        <f>1/G107</f>
        <v>0.33333333333333331</v>
      </c>
      <c r="I107" s="8"/>
      <c r="J107" s="8"/>
      <c r="K107" s="8"/>
      <c r="L107" s="10"/>
    </row>
    <row r="108" spans="1:12">
      <c r="A108" s="53" t="s">
        <v>147</v>
      </c>
      <c r="B108" s="15">
        <v>17</v>
      </c>
      <c r="C108" s="15">
        <v>25</v>
      </c>
      <c r="D108" s="15">
        <v>0.1</v>
      </c>
      <c r="E108" s="15">
        <v>2</v>
      </c>
      <c r="F108" s="15">
        <v>1</v>
      </c>
      <c r="G108" s="15">
        <v>3</v>
      </c>
      <c r="H108" s="44">
        <f>1/G108</f>
        <v>0.33333333333333331</v>
      </c>
      <c r="I108" s="8"/>
      <c r="J108" s="8"/>
      <c r="K108" s="8"/>
      <c r="L108" s="10"/>
    </row>
    <row r="109" spans="1:12">
      <c r="A109" s="7"/>
      <c r="B109" s="15">
        <v>17</v>
      </c>
      <c r="C109" s="15">
        <v>25</v>
      </c>
      <c r="D109" s="15">
        <v>0.2</v>
      </c>
      <c r="E109" s="15">
        <v>1</v>
      </c>
      <c r="F109" s="15">
        <v>0</v>
      </c>
      <c r="G109" s="15">
        <v>1</v>
      </c>
      <c r="H109" s="44">
        <f>1/G109</f>
        <v>1</v>
      </c>
      <c r="I109" s="8"/>
      <c r="J109" s="8"/>
      <c r="K109" s="8"/>
      <c r="L109" s="10"/>
    </row>
    <row r="110" spans="1:12">
      <c r="A110" s="11"/>
      <c r="B110" s="19">
        <v>17</v>
      </c>
      <c r="C110" s="19">
        <v>25</v>
      </c>
      <c r="D110" s="19">
        <v>0.2</v>
      </c>
      <c r="E110" s="19">
        <v>1</v>
      </c>
      <c r="F110" s="19">
        <v>1</v>
      </c>
      <c r="G110" s="19">
        <v>2</v>
      </c>
      <c r="H110" s="46">
        <f>1/G110</f>
        <v>0.5</v>
      </c>
      <c r="I110" s="12"/>
      <c r="J110" s="12"/>
      <c r="K110" s="12">
        <f>SUM(G105:G110)</f>
        <v>11</v>
      </c>
      <c r="L110" s="14">
        <f>SUM(E105:E110)</f>
        <v>7</v>
      </c>
    </row>
    <row r="111" spans="1:12">
      <c r="A111" s="54" t="s">
        <v>157</v>
      </c>
      <c r="B111" s="17">
        <v>18</v>
      </c>
      <c r="C111" s="17">
        <v>25</v>
      </c>
      <c r="D111" s="17">
        <v>0.1</v>
      </c>
      <c r="E111" s="17">
        <v>0</v>
      </c>
      <c r="F111" s="17">
        <v>1</v>
      </c>
      <c r="G111" s="17">
        <v>1</v>
      </c>
      <c r="H111" s="45">
        <f>1/G111</f>
        <v>1</v>
      </c>
      <c r="I111" s="41">
        <f>6/12</f>
        <v>0.5</v>
      </c>
      <c r="J111" s="41">
        <f>9/12</f>
        <v>0.75</v>
      </c>
      <c r="K111" s="4">
        <v>12</v>
      </c>
      <c r="L111" s="6">
        <v>6</v>
      </c>
    </row>
    <row r="112" spans="1:12">
      <c r="A112" s="53" t="s">
        <v>149</v>
      </c>
      <c r="B112" s="15">
        <v>18</v>
      </c>
      <c r="C112" s="15">
        <v>25</v>
      </c>
      <c r="D112" s="15">
        <v>0.1</v>
      </c>
      <c r="E112" s="15">
        <v>1</v>
      </c>
      <c r="F112" s="15">
        <v>0</v>
      </c>
      <c r="G112" s="15">
        <v>1</v>
      </c>
      <c r="H112" s="44">
        <f>1/G112</f>
        <v>1</v>
      </c>
      <c r="I112" s="8"/>
      <c r="J112" s="8"/>
      <c r="K112" s="8"/>
      <c r="L112" s="10"/>
    </row>
    <row r="113" spans="1:12">
      <c r="A113" s="52" t="s">
        <v>150</v>
      </c>
      <c r="B113" s="15">
        <v>18</v>
      </c>
      <c r="C113" s="15">
        <v>25</v>
      </c>
      <c r="D113" s="15">
        <v>0.2</v>
      </c>
      <c r="E113" s="15">
        <v>0</v>
      </c>
      <c r="F113" s="15">
        <v>2</v>
      </c>
      <c r="G113" s="15">
        <v>2</v>
      </c>
      <c r="H113" s="44">
        <f>1/G113</f>
        <v>0.5</v>
      </c>
      <c r="I113" s="8"/>
      <c r="J113" s="8"/>
      <c r="K113" s="8"/>
      <c r="L113" s="10"/>
    </row>
    <row r="114" spans="1:12">
      <c r="A114" s="53" t="s">
        <v>147</v>
      </c>
      <c r="B114" s="15">
        <v>18</v>
      </c>
      <c r="C114" s="15">
        <v>25</v>
      </c>
      <c r="D114" s="15">
        <v>0.1</v>
      </c>
      <c r="E114" s="15">
        <v>3</v>
      </c>
      <c r="F114" s="15">
        <v>3</v>
      </c>
      <c r="G114" s="15">
        <v>6</v>
      </c>
      <c r="H114" s="44">
        <f>1/G114</f>
        <v>0.16666666666666666</v>
      </c>
      <c r="I114" s="8"/>
      <c r="J114" s="8"/>
      <c r="K114" s="8"/>
      <c r="L114" s="10"/>
    </row>
    <row r="115" spans="1:12">
      <c r="A115" s="7"/>
      <c r="B115" s="15">
        <v>18</v>
      </c>
      <c r="C115" s="15">
        <v>25</v>
      </c>
      <c r="D115" s="15">
        <v>0.1</v>
      </c>
      <c r="E115" s="15">
        <v>1</v>
      </c>
      <c r="F115" s="15">
        <v>0</v>
      </c>
      <c r="G115" s="15">
        <v>1</v>
      </c>
      <c r="H115" s="44">
        <f>1/G115</f>
        <v>1</v>
      </c>
      <c r="I115" s="8"/>
      <c r="J115" s="8"/>
      <c r="K115" s="8"/>
      <c r="L115" s="10"/>
    </row>
    <row r="116" spans="1:12">
      <c r="A116" s="11"/>
      <c r="B116" s="19">
        <v>18</v>
      </c>
      <c r="C116" s="19">
        <v>25</v>
      </c>
      <c r="D116" s="19">
        <v>0.3</v>
      </c>
      <c r="E116" s="19">
        <v>1</v>
      </c>
      <c r="F116" s="19">
        <v>0</v>
      </c>
      <c r="G116" s="19">
        <v>1</v>
      </c>
      <c r="H116" s="46">
        <f>1/G116</f>
        <v>1</v>
      </c>
      <c r="I116" s="12"/>
      <c r="J116" s="12"/>
      <c r="K116" s="12">
        <f>SUM(G111:G116)</f>
        <v>12</v>
      </c>
      <c r="L116" s="14">
        <f>SUM(E111:E116)</f>
        <v>6</v>
      </c>
    </row>
    <row r="117" spans="1:12">
      <c r="A117" s="54" t="s">
        <v>157</v>
      </c>
      <c r="B117" s="17">
        <v>19</v>
      </c>
      <c r="C117" s="17">
        <v>25</v>
      </c>
      <c r="D117" s="17">
        <v>0.2</v>
      </c>
      <c r="E117" s="17">
        <v>0</v>
      </c>
      <c r="F117" s="17">
        <v>2</v>
      </c>
      <c r="G117" s="17">
        <v>2</v>
      </c>
      <c r="H117" s="45">
        <f>1/G117</f>
        <v>0.5</v>
      </c>
      <c r="I117" s="41">
        <f>7/12</f>
        <v>0.58333333333333337</v>
      </c>
      <c r="J117" s="41">
        <f>11/12</f>
        <v>0.91666666666666663</v>
      </c>
      <c r="K117" s="4">
        <v>12</v>
      </c>
      <c r="L117" s="6">
        <v>1</v>
      </c>
    </row>
    <row r="118" spans="1:12">
      <c r="A118" s="53" t="s">
        <v>32</v>
      </c>
      <c r="B118" s="15">
        <v>19</v>
      </c>
      <c r="C118" s="15">
        <v>25</v>
      </c>
      <c r="D118" s="15">
        <v>0.3</v>
      </c>
      <c r="E118" s="15">
        <v>0</v>
      </c>
      <c r="F118" s="15">
        <v>1</v>
      </c>
      <c r="G118" s="15">
        <v>1</v>
      </c>
      <c r="H118" s="44">
        <f>1/G118</f>
        <v>1</v>
      </c>
      <c r="I118" s="8"/>
      <c r="J118" s="8"/>
      <c r="K118" s="8"/>
      <c r="L118" s="10"/>
    </row>
    <row r="119" spans="1:12">
      <c r="A119" s="52" t="s">
        <v>151</v>
      </c>
      <c r="B119" s="15">
        <v>19</v>
      </c>
      <c r="C119" s="15">
        <v>25</v>
      </c>
      <c r="D119" s="15">
        <v>0.1</v>
      </c>
      <c r="E119" s="15">
        <v>1</v>
      </c>
      <c r="F119" s="15">
        <v>0</v>
      </c>
      <c r="G119" s="15">
        <v>1</v>
      </c>
      <c r="H119" s="44">
        <f>1/G119</f>
        <v>1</v>
      </c>
      <c r="I119" s="8"/>
      <c r="J119" s="8"/>
      <c r="K119" s="8"/>
      <c r="L119" s="10"/>
    </row>
    <row r="120" spans="1:12">
      <c r="A120" s="53" t="s">
        <v>147</v>
      </c>
      <c r="B120" s="15">
        <v>19</v>
      </c>
      <c r="C120" s="15">
        <v>25</v>
      </c>
      <c r="D120" s="15">
        <v>0.1</v>
      </c>
      <c r="E120" s="15">
        <v>0</v>
      </c>
      <c r="F120" s="15">
        <v>1</v>
      </c>
      <c r="G120" s="15">
        <v>1</v>
      </c>
      <c r="H120" s="44">
        <f>1/G120</f>
        <v>1</v>
      </c>
      <c r="I120" s="8"/>
      <c r="J120" s="8"/>
      <c r="K120" s="8"/>
      <c r="L120" s="10"/>
    </row>
    <row r="121" spans="1:12">
      <c r="A121" s="7"/>
      <c r="B121" s="15">
        <v>19</v>
      </c>
      <c r="C121" s="15">
        <v>25</v>
      </c>
      <c r="D121" s="15">
        <v>0.1</v>
      </c>
      <c r="E121" s="15">
        <v>0</v>
      </c>
      <c r="F121" s="15">
        <v>1</v>
      </c>
      <c r="G121" s="15">
        <v>1</v>
      </c>
      <c r="H121" s="44">
        <f>1/G121</f>
        <v>1</v>
      </c>
      <c r="I121" s="8"/>
      <c r="J121" s="8"/>
      <c r="K121" s="8"/>
      <c r="L121" s="10"/>
    </row>
    <row r="122" spans="1:12">
      <c r="A122" s="7"/>
      <c r="B122" s="15">
        <v>19</v>
      </c>
      <c r="C122" s="15">
        <v>25</v>
      </c>
      <c r="D122" s="15">
        <v>0.1</v>
      </c>
      <c r="E122" s="15">
        <v>0</v>
      </c>
      <c r="F122" s="15">
        <v>5</v>
      </c>
      <c r="G122" s="15">
        <v>5</v>
      </c>
      <c r="H122" s="44">
        <f>1/G122</f>
        <v>0.2</v>
      </c>
      <c r="I122" s="8"/>
      <c r="J122" s="8"/>
      <c r="K122" s="8"/>
      <c r="L122" s="10"/>
    </row>
    <row r="123" spans="1:12">
      <c r="A123" s="11"/>
      <c r="B123" s="19">
        <v>19</v>
      </c>
      <c r="C123" s="19">
        <v>25</v>
      </c>
      <c r="D123" s="19">
        <v>0.2</v>
      </c>
      <c r="E123" s="19">
        <v>0</v>
      </c>
      <c r="F123" s="19">
        <v>1</v>
      </c>
      <c r="G123" s="19">
        <v>1</v>
      </c>
      <c r="H123" s="46">
        <f>1/G123</f>
        <v>1</v>
      </c>
      <c r="I123" s="12"/>
      <c r="J123" s="12"/>
      <c r="K123" s="12">
        <f>SUM(G117:G123)</f>
        <v>12</v>
      </c>
      <c r="L123" s="14">
        <f>SUM(E117:E123)</f>
        <v>1</v>
      </c>
    </row>
    <row r="124" spans="1:12">
      <c r="A124" s="3" t="s">
        <v>157</v>
      </c>
      <c r="B124" s="17">
        <v>20</v>
      </c>
      <c r="C124" s="17">
        <v>25</v>
      </c>
      <c r="D124" s="17">
        <v>0.2</v>
      </c>
      <c r="E124" s="17">
        <v>1</v>
      </c>
      <c r="F124" s="17">
        <v>0</v>
      </c>
      <c r="G124" s="17">
        <v>1</v>
      </c>
      <c r="H124" s="45">
        <f>1/G124</f>
        <v>1</v>
      </c>
      <c r="I124" s="41">
        <f>7/9</f>
        <v>0.77777777777777779</v>
      </c>
      <c r="J124" s="41">
        <f>9/9</f>
        <v>1</v>
      </c>
      <c r="K124" s="4">
        <v>9</v>
      </c>
      <c r="L124" s="6">
        <v>5</v>
      </c>
    </row>
    <row r="125" spans="1:12">
      <c r="A125" s="7" t="s">
        <v>33</v>
      </c>
      <c r="B125" s="15">
        <v>20</v>
      </c>
      <c r="C125" s="15">
        <v>25</v>
      </c>
      <c r="D125" s="15">
        <v>0.1</v>
      </c>
      <c r="E125" s="15">
        <v>1</v>
      </c>
      <c r="F125" s="15">
        <v>0</v>
      </c>
      <c r="G125" s="15">
        <v>1</v>
      </c>
      <c r="H125" s="44">
        <f>1/G125</f>
        <v>1</v>
      </c>
      <c r="I125" s="8"/>
      <c r="J125" s="8"/>
      <c r="K125" s="8"/>
      <c r="L125" s="10"/>
    </row>
    <row r="126" spans="1:12">
      <c r="A126" s="52" t="s">
        <v>152</v>
      </c>
      <c r="B126" s="15">
        <v>20</v>
      </c>
      <c r="C126" s="15">
        <v>25</v>
      </c>
      <c r="D126" s="15">
        <v>0.1</v>
      </c>
      <c r="E126" s="15">
        <v>1</v>
      </c>
      <c r="F126" s="15">
        <v>1</v>
      </c>
      <c r="G126" s="15">
        <v>2</v>
      </c>
      <c r="H126" s="44">
        <f>1/G126</f>
        <v>0.5</v>
      </c>
      <c r="I126" s="8"/>
      <c r="J126" s="8"/>
      <c r="K126" s="8"/>
      <c r="L126" s="10"/>
    </row>
    <row r="127" spans="1:12">
      <c r="A127" s="7" t="s">
        <v>147</v>
      </c>
      <c r="B127" s="15">
        <v>20</v>
      </c>
      <c r="C127" s="15">
        <v>25</v>
      </c>
      <c r="D127" s="15">
        <v>0.1</v>
      </c>
      <c r="E127" s="15">
        <v>1</v>
      </c>
      <c r="F127" s="15">
        <v>0</v>
      </c>
      <c r="G127" s="15">
        <v>1</v>
      </c>
      <c r="H127" s="44">
        <f>1/G127</f>
        <v>1</v>
      </c>
      <c r="I127" s="8"/>
      <c r="J127" s="8"/>
      <c r="K127" s="8"/>
      <c r="L127" s="10"/>
    </row>
    <row r="128" spans="1:12">
      <c r="A128" s="7"/>
      <c r="B128" s="15">
        <v>20</v>
      </c>
      <c r="C128" s="15">
        <v>25</v>
      </c>
      <c r="D128" s="15">
        <v>0.1</v>
      </c>
      <c r="E128" s="15">
        <v>0</v>
      </c>
      <c r="F128" s="15">
        <v>1</v>
      </c>
      <c r="G128" s="15">
        <v>1</v>
      </c>
      <c r="H128" s="44">
        <f>1/G128</f>
        <v>1</v>
      </c>
      <c r="I128" s="8"/>
      <c r="J128" s="8"/>
      <c r="K128" s="8"/>
      <c r="L128" s="10"/>
    </row>
    <row r="129" spans="1:12">
      <c r="A129" s="7"/>
      <c r="B129" s="15">
        <v>20</v>
      </c>
      <c r="C129" s="15">
        <v>25</v>
      </c>
      <c r="D129" s="15">
        <v>0.2</v>
      </c>
      <c r="E129" s="15">
        <v>1</v>
      </c>
      <c r="F129" s="15">
        <v>1</v>
      </c>
      <c r="G129" s="15">
        <v>2</v>
      </c>
      <c r="H129" s="44">
        <f>1/G129</f>
        <v>0.5</v>
      </c>
      <c r="I129" s="8"/>
      <c r="J129" s="8"/>
      <c r="K129" s="8"/>
      <c r="L129" s="10"/>
    </row>
    <row r="130" spans="1:12">
      <c r="A130" s="11"/>
      <c r="B130" s="19">
        <v>20</v>
      </c>
      <c r="C130" s="19">
        <v>25</v>
      </c>
      <c r="D130" s="19">
        <v>0.1</v>
      </c>
      <c r="E130" s="19">
        <v>0</v>
      </c>
      <c r="F130" s="19">
        <v>1</v>
      </c>
      <c r="G130" s="19">
        <v>1</v>
      </c>
      <c r="H130" s="46">
        <f>1/G130</f>
        <v>1</v>
      </c>
      <c r="I130" s="12"/>
      <c r="J130" s="12"/>
      <c r="K130" s="12">
        <f>SUM(G124:G130)</f>
        <v>9</v>
      </c>
      <c r="L130" s="14">
        <f>SUM(E124:E130)</f>
        <v>5</v>
      </c>
    </row>
    <row r="131" spans="1:12">
      <c r="A131" s="3" t="s">
        <v>153</v>
      </c>
      <c r="B131" s="17">
        <v>21</v>
      </c>
      <c r="C131" s="17">
        <v>28</v>
      </c>
      <c r="D131" s="17">
        <v>0.1</v>
      </c>
      <c r="E131" s="17">
        <v>1</v>
      </c>
      <c r="F131" s="17">
        <v>0</v>
      </c>
      <c r="G131" s="17">
        <v>1</v>
      </c>
      <c r="H131" s="45">
        <f>1/G131</f>
        <v>1</v>
      </c>
      <c r="I131" s="41">
        <f>7/14</f>
        <v>0.5</v>
      </c>
      <c r="J131" s="41">
        <f>11/14</f>
        <v>0.7857142857142857</v>
      </c>
      <c r="K131" s="4">
        <v>14</v>
      </c>
      <c r="L131" s="6">
        <v>7</v>
      </c>
    </row>
    <row r="132" spans="1:12">
      <c r="A132" s="7" t="s">
        <v>149</v>
      </c>
      <c r="B132" s="15">
        <v>21</v>
      </c>
      <c r="C132" s="15">
        <v>28</v>
      </c>
      <c r="D132" s="15">
        <v>0.1</v>
      </c>
      <c r="E132" s="15">
        <v>1</v>
      </c>
      <c r="F132" s="15">
        <v>1</v>
      </c>
      <c r="G132" s="15">
        <v>2</v>
      </c>
      <c r="H132" s="44">
        <f>1/G132</f>
        <v>0.5</v>
      </c>
      <c r="I132" s="8"/>
      <c r="J132" s="8"/>
      <c r="K132" s="8"/>
      <c r="L132" s="10"/>
    </row>
    <row r="133" spans="1:12">
      <c r="A133" s="52" t="s">
        <v>150</v>
      </c>
      <c r="B133" s="15">
        <v>21</v>
      </c>
      <c r="C133" s="15">
        <v>28</v>
      </c>
      <c r="D133" s="15">
        <v>0.3</v>
      </c>
      <c r="E133" s="15">
        <v>1</v>
      </c>
      <c r="F133" s="15">
        <v>0</v>
      </c>
      <c r="G133" s="15">
        <v>1</v>
      </c>
      <c r="H133" s="44">
        <f>1/G133</f>
        <v>1</v>
      </c>
      <c r="I133" s="8"/>
      <c r="J133" s="8"/>
      <c r="K133" s="8"/>
      <c r="L133" s="10"/>
    </row>
    <row r="134" spans="1:12">
      <c r="A134" s="7" t="s">
        <v>147</v>
      </c>
      <c r="B134" s="15">
        <v>21</v>
      </c>
      <c r="C134" s="15">
        <v>28</v>
      </c>
      <c r="D134" s="15">
        <v>0.1</v>
      </c>
      <c r="E134" s="15">
        <v>1</v>
      </c>
      <c r="F134" s="15">
        <v>0</v>
      </c>
      <c r="G134" s="15">
        <v>1</v>
      </c>
      <c r="H134" s="44">
        <f>1/G134</f>
        <v>1</v>
      </c>
      <c r="I134" s="8"/>
      <c r="J134" s="8"/>
      <c r="K134" s="8"/>
      <c r="L134" s="10"/>
    </row>
    <row r="135" spans="1:12">
      <c r="A135" s="7"/>
      <c r="B135" s="15">
        <v>21</v>
      </c>
      <c r="C135" s="15">
        <v>28</v>
      </c>
      <c r="D135" s="15">
        <v>0.1</v>
      </c>
      <c r="E135" s="15">
        <v>1</v>
      </c>
      <c r="F135" s="15">
        <v>4</v>
      </c>
      <c r="G135" s="15">
        <v>5</v>
      </c>
      <c r="H135" s="44">
        <f>1/G135</f>
        <v>0.2</v>
      </c>
      <c r="I135" s="8"/>
      <c r="J135" s="8"/>
      <c r="K135" s="8"/>
      <c r="L135" s="10"/>
    </row>
    <row r="136" spans="1:12">
      <c r="A136" s="7"/>
      <c r="B136" s="15">
        <v>21</v>
      </c>
      <c r="C136" s="15">
        <v>28</v>
      </c>
      <c r="D136" s="15">
        <v>0.1</v>
      </c>
      <c r="E136" s="15">
        <v>1</v>
      </c>
      <c r="F136" s="15">
        <v>1</v>
      </c>
      <c r="G136" s="15">
        <v>2</v>
      </c>
      <c r="H136" s="44">
        <f>1/G136</f>
        <v>0.5</v>
      </c>
      <c r="I136" s="8"/>
      <c r="J136" s="8"/>
      <c r="K136" s="8"/>
      <c r="L136" s="10"/>
    </row>
    <row r="137" spans="1:12">
      <c r="A137" s="11"/>
      <c r="B137" s="19">
        <v>21</v>
      </c>
      <c r="C137" s="19">
        <v>28</v>
      </c>
      <c r="D137" s="19">
        <v>0.3</v>
      </c>
      <c r="E137" s="19">
        <v>1</v>
      </c>
      <c r="F137" s="19">
        <v>1</v>
      </c>
      <c r="G137" s="19">
        <v>2</v>
      </c>
      <c r="H137" s="46">
        <f>1/G137</f>
        <v>0.5</v>
      </c>
      <c r="I137" s="12"/>
      <c r="J137" s="12"/>
      <c r="K137" s="12">
        <f>SUM(G131:G137)</f>
        <v>14</v>
      </c>
      <c r="L137" s="14">
        <f>SUM(E131:E137)</f>
        <v>7</v>
      </c>
    </row>
    <row r="138" spans="1:12">
      <c r="A138" s="3" t="s">
        <v>153</v>
      </c>
      <c r="B138" s="17">
        <v>22</v>
      </c>
      <c r="C138" s="17">
        <v>28</v>
      </c>
      <c r="D138" s="17">
        <v>0.2</v>
      </c>
      <c r="E138" s="17">
        <v>1</v>
      </c>
      <c r="F138" s="17">
        <v>1</v>
      </c>
      <c r="G138" s="17">
        <v>2</v>
      </c>
      <c r="H138" s="45">
        <f>1/G138</f>
        <v>0.5</v>
      </c>
      <c r="I138" s="41">
        <f>5/13</f>
        <v>0.38461538461538464</v>
      </c>
      <c r="J138" s="41">
        <f>11/13</f>
        <v>0.84615384615384615</v>
      </c>
      <c r="K138" s="4">
        <v>13</v>
      </c>
      <c r="L138" s="6">
        <v>5</v>
      </c>
    </row>
    <row r="139" spans="1:12">
      <c r="A139" s="7" t="s">
        <v>32</v>
      </c>
      <c r="B139" s="15">
        <v>22</v>
      </c>
      <c r="C139" s="15">
        <v>28</v>
      </c>
      <c r="D139" s="15">
        <v>0.2</v>
      </c>
      <c r="E139" s="15">
        <v>1</v>
      </c>
      <c r="F139" s="15">
        <v>0</v>
      </c>
      <c r="G139" s="15">
        <v>1</v>
      </c>
      <c r="H139" s="44">
        <f>1/G139</f>
        <v>1</v>
      </c>
      <c r="I139" s="8"/>
      <c r="J139" s="8"/>
      <c r="K139" s="8"/>
      <c r="L139" s="10"/>
    </row>
    <row r="140" spans="1:12">
      <c r="A140" s="52" t="s">
        <v>151</v>
      </c>
      <c r="B140" s="15">
        <v>22</v>
      </c>
      <c r="C140" s="15">
        <v>28</v>
      </c>
      <c r="D140" s="15">
        <v>0.1</v>
      </c>
      <c r="E140" s="15">
        <v>1</v>
      </c>
      <c r="F140" s="15">
        <v>1</v>
      </c>
      <c r="G140" s="15">
        <v>2</v>
      </c>
      <c r="H140" s="44">
        <f>1/G140</f>
        <v>0.5</v>
      </c>
      <c r="I140" s="8"/>
      <c r="J140" s="8"/>
      <c r="K140" s="8"/>
      <c r="L140" s="10"/>
    </row>
    <row r="141" spans="1:12">
      <c r="A141" s="7" t="s">
        <v>147</v>
      </c>
      <c r="B141" s="15">
        <v>22</v>
      </c>
      <c r="C141" s="15">
        <v>28</v>
      </c>
      <c r="D141" s="15">
        <v>0.2</v>
      </c>
      <c r="E141" s="15">
        <v>2</v>
      </c>
      <c r="F141" s="15">
        <v>3</v>
      </c>
      <c r="G141" s="15">
        <v>5</v>
      </c>
      <c r="H141" s="44">
        <f>1/G141</f>
        <v>0.2</v>
      </c>
      <c r="I141" s="8"/>
      <c r="J141" s="8"/>
      <c r="K141" s="8"/>
      <c r="L141" s="10"/>
    </row>
    <row r="142" spans="1:12">
      <c r="A142" s="11"/>
      <c r="B142" s="19">
        <v>22</v>
      </c>
      <c r="C142" s="19">
        <v>28</v>
      </c>
      <c r="D142" s="19">
        <v>0.4</v>
      </c>
      <c r="E142" s="19">
        <v>0</v>
      </c>
      <c r="F142" s="19">
        <v>3</v>
      </c>
      <c r="G142" s="19">
        <v>3</v>
      </c>
      <c r="H142" s="46">
        <f>1/G142</f>
        <v>0.33333333333333331</v>
      </c>
      <c r="I142" s="12"/>
      <c r="J142" s="12"/>
      <c r="K142" s="12">
        <f>SUM(G138:G142)</f>
        <v>13</v>
      </c>
      <c r="L142" s="14">
        <f>SUM(E138:E142)</f>
        <v>5</v>
      </c>
    </row>
    <row r="143" spans="1:12">
      <c r="A143" s="54" t="s">
        <v>153</v>
      </c>
      <c r="B143" s="17">
        <v>23</v>
      </c>
      <c r="C143" s="17">
        <v>28</v>
      </c>
      <c r="D143" s="17">
        <v>0.1</v>
      </c>
      <c r="E143" s="17">
        <v>1</v>
      </c>
      <c r="F143" s="17">
        <v>1</v>
      </c>
      <c r="G143" s="17">
        <v>2</v>
      </c>
      <c r="H143" s="45">
        <f>1/G143</f>
        <v>0.5</v>
      </c>
      <c r="I143" s="41">
        <f>6/9</f>
        <v>0.66666666666666663</v>
      </c>
      <c r="J143" s="41">
        <f>9/9</f>
        <v>1</v>
      </c>
      <c r="K143" s="4">
        <v>9</v>
      </c>
      <c r="L143" s="6">
        <v>6</v>
      </c>
    </row>
    <row r="144" spans="1:12">
      <c r="A144" s="53" t="s">
        <v>33</v>
      </c>
      <c r="B144" s="15">
        <v>23</v>
      </c>
      <c r="C144" s="15">
        <v>28</v>
      </c>
      <c r="D144" s="15">
        <v>0.2</v>
      </c>
      <c r="E144" s="15">
        <v>1</v>
      </c>
      <c r="F144" s="15">
        <v>1</v>
      </c>
      <c r="G144" s="15">
        <v>2</v>
      </c>
      <c r="H144" s="44">
        <f>1/G144</f>
        <v>0.5</v>
      </c>
      <c r="I144" s="8"/>
      <c r="J144" s="8"/>
      <c r="K144" s="8"/>
      <c r="L144" s="10"/>
    </row>
    <row r="145" spans="1:15">
      <c r="A145" s="52" t="s">
        <v>152</v>
      </c>
      <c r="B145" s="15">
        <v>23</v>
      </c>
      <c r="C145" s="15">
        <v>28</v>
      </c>
      <c r="D145" s="15">
        <v>0.1</v>
      </c>
      <c r="E145" s="15">
        <v>2</v>
      </c>
      <c r="F145" s="15">
        <v>0</v>
      </c>
      <c r="G145" s="15">
        <v>2</v>
      </c>
      <c r="H145" s="44">
        <f>1/G145</f>
        <v>0.5</v>
      </c>
      <c r="I145" s="8"/>
      <c r="J145" s="8"/>
      <c r="K145" s="8"/>
      <c r="L145" s="10"/>
    </row>
    <row r="146" spans="1:15">
      <c r="A146" s="53" t="s">
        <v>147</v>
      </c>
      <c r="B146" s="15">
        <v>23</v>
      </c>
      <c r="C146" s="15">
        <v>28</v>
      </c>
      <c r="D146" s="15">
        <v>0.1</v>
      </c>
      <c r="E146" s="15">
        <v>1</v>
      </c>
      <c r="F146" s="15">
        <v>0</v>
      </c>
      <c r="G146" s="15">
        <v>1</v>
      </c>
      <c r="H146" s="44">
        <f>1/G146</f>
        <v>1</v>
      </c>
      <c r="I146" s="8"/>
      <c r="J146" s="8"/>
      <c r="K146" s="8"/>
      <c r="L146" s="10"/>
    </row>
    <row r="147" spans="1:15">
      <c r="A147" s="7"/>
      <c r="B147" s="15">
        <v>23</v>
      </c>
      <c r="C147" s="15">
        <v>28</v>
      </c>
      <c r="D147" s="15">
        <v>0.2</v>
      </c>
      <c r="E147" s="15">
        <v>1</v>
      </c>
      <c r="F147" s="15">
        <v>0</v>
      </c>
      <c r="G147" s="15">
        <v>1</v>
      </c>
      <c r="H147" s="44">
        <f>1/G147</f>
        <v>1</v>
      </c>
      <c r="I147" s="8"/>
      <c r="J147" s="8"/>
      <c r="K147" s="8"/>
      <c r="L147" s="10"/>
    </row>
    <row r="148" spans="1:15">
      <c r="A148" s="11"/>
      <c r="B148" s="19">
        <v>23</v>
      </c>
      <c r="C148" s="19">
        <v>28</v>
      </c>
      <c r="D148" s="19">
        <v>0.2</v>
      </c>
      <c r="E148" s="19">
        <v>0</v>
      </c>
      <c r="F148" s="19">
        <v>1</v>
      </c>
      <c r="G148" s="19">
        <v>1</v>
      </c>
      <c r="H148" s="46">
        <f>1/G148</f>
        <v>1</v>
      </c>
      <c r="I148" s="12"/>
      <c r="J148" s="12"/>
      <c r="K148" s="12">
        <f>SUM(G143:G148)</f>
        <v>9</v>
      </c>
      <c r="L148" s="14">
        <f>SUM(E143:E148)</f>
        <v>6</v>
      </c>
    </row>
    <row r="149" spans="1:15">
      <c r="A149" s="54" t="s">
        <v>153</v>
      </c>
      <c r="B149" s="17">
        <v>24</v>
      </c>
      <c r="C149" s="17">
        <v>28</v>
      </c>
      <c r="D149" s="59" t="s">
        <v>159</v>
      </c>
      <c r="E149" s="17">
        <v>119</v>
      </c>
      <c r="F149" s="17">
        <v>4</v>
      </c>
      <c r="G149" s="17">
        <v>123</v>
      </c>
      <c r="H149" s="45">
        <v>0</v>
      </c>
      <c r="I149" s="41">
        <v>0</v>
      </c>
      <c r="J149" s="41">
        <v>0</v>
      </c>
      <c r="K149" s="4">
        <v>123</v>
      </c>
      <c r="L149" s="6">
        <v>119</v>
      </c>
    </row>
    <row r="150" spans="1:15">
      <c r="A150" s="52" t="s">
        <v>18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10"/>
    </row>
    <row r="151" spans="1:15">
      <c r="A151" s="52" t="s">
        <v>145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10"/>
    </row>
    <row r="152" spans="1:15">
      <c r="A152" s="52" t="s">
        <v>150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10"/>
    </row>
    <row r="153" spans="1:15">
      <c r="A153" s="52" t="s">
        <v>146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10"/>
    </row>
    <row r="154" spans="1:15">
      <c r="A154" s="11" t="s">
        <v>158</v>
      </c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4"/>
    </row>
    <row r="155" spans="1:15">
      <c r="A155" s="57" t="s">
        <v>160</v>
      </c>
    </row>
    <row r="157" spans="1:15">
      <c r="A157" s="55" t="s">
        <v>162</v>
      </c>
      <c r="B157" t="s">
        <v>161</v>
      </c>
      <c r="N157" s="55" t="s">
        <v>162</v>
      </c>
      <c r="O157" t="s">
        <v>161</v>
      </c>
    </row>
    <row r="158" spans="1:15">
      <c r="A158" s="60">
        <v>1</v>
      </c>
      <c r="B158" s="42">
        <f>6/6</f>
        <v>1</v>
      </c>
      <c r="N158" s="60">
        <v>1</v>
      </c>
      <c r="O158" s="47">
        <f>9/13</f>
        <v>0.69230769230769229</v>
      </c>
    </row>
    <row r="159" spans="1:15">
      <c r="A159" s="60">
        <v>2</v>
      </c>
      <c r="B159" s="42">
        <f>9/14</f>
        <v>0.6428571428571429</v>
      </c>
      <c r="N159" s="60">
        <v>2</v>
      </c>
      <c r="O159" s="47">
        <f>7/20</f>
        <v>0.35</v>
      </c>
    </row>
    <row r="160" spans="1:15">
      <c r="A160" s="60">
        <v>3</v>
      </c>
      <c r="B160" s="42">
        <f>6/7</f>
        <v>0.8571428571428571</v>
      </c>
      <c r="N160" s="60">
        <v>3</v>
      </c>
      <c r="O160" s="47">
        <f>9/56</f>
        <v>0.16071428571428573</v>
      </c>
    </row>
    <row r="161" spans="1:15">
      <c r="A161" s="60">
        <v>4</v>
      </c>
      <c r="B161" s="42">
        <f>5/5</f>
        <v>1</v>
      </c>
      <c r="N161" s="60">
        <v>4</v>
      </c>
      <c r="O161" s="47">
        <f>8/13</f>
        <v>0.61538461538461542</v>
      </c>
    </row>
    <row r="162" spans="1:15">
      <c r="A162" s="60">
        <v>5</v>
      </c>
      <c r="B162" s="42">
        <f>7/15</f>
        <v>0.46666666666666667</v>
      </c>
      <c r="N162" s="60">
        <v>5</v>
      </c>
      <c r="O162" s="47">
        <f>7/17</f>
        <v>0.41176470588235292</v>
      </c>
    </row>
    <row r="163" spans="1:15">
      <c r="A163" s="60">
        <v>6</v>
      </c>
      <c r="B163" s="42">
        <f>4/5</f>
        <v>0.8</v>
      </c>
      <c r="N163" s="60">
        <v>6</v>
      </c>
      <c r="O163" s="47">
        <f>10/33</f>
        <v>0.30303030303030304</v>
      </c>
    </row>
    <row r="164" spans="1:15">
      <c r="A164" s="60">
        <v>7</v>
      </c>
      <c r="B164" s="42">
        <f>6/8</f>
        <v>0.75</v>
      </c>
      <c r="N164" s="60">
        <v>7</v>
      </c>
      <c r="O164" s="47">
        <f>6/10</f>
        <v>0.6</v>
      </c>
    </row>
    <row r="165" spans="1:15">
      <c r="A165" s="60">
        <v>8</v>
      </c>
      <c r="B165" s="42">
        <f>5/8</f>
        <v>0.625</v>
      </c>
      <c r="N165" s="60">
        <v>8</v>
      </c>
      <c r="O165" s="47">
        <f>9/17</f>
        <v>0.52941176470588236</v>
      </c>
    </row>
    <row r="166" spans="1:15">
      <c r="A166" s="60">
        <v>9</v>
      </c>
      <c r="B166" s="42">
        <f>5/5</f>
        <v>1</v>
      </c>
      <c r="N166" s="60">
        <v>9</v>
      </c>
      <c r="O166" s="47">
        <f>7/14</f>
        <v>0.5</v>
      </c>
    </row>
    <row r="167" spans="1:15">
      <c r="A167" s="60">
        <v>10</v>
      </c>
      <c r="B167" s="42">
        <f>5/5</f>
        <v>1</v>
      </c>
      <c r="N167" s="60">
        <v>10</v>
      </c>
      <c r="O167" s="47">
        <f>8/29</f>
        <v>0.27586206896551724</v>
      </c>
    </row>
    <row r="168" spans="1:15">
      <c r="A168" s="60">
        <v>11</v>
      </c>
      <c r="B168" s="42">
        <f>5/8</f>
        <v>0.625</v>
      </c>
      <c r="N168" s="60">
        <v>11</v>
      </c>
      <c r="O168" s="47">
        <f>7/10</f>
        <v>0.7</v>
      </c>
    </row>
    <row r="169" spans="1:15">
      <c r="A169" s="60">
        <v>12</v>
      </c>
      <c r="B169" s="42">
        <f>7/12</f>
        <v>0.58333333333333337</v>
      </c>
      <c r="N169" s="60">
        <v>12</v>
      </c>
      <c r="O169" s="47">
        <f>7/21</f>
        <v>0.33333333333333331</v>
      </c>
    </row>
    <row r="170" spans="1:15">
      <c r="A170" s="60">
        <v>13</v>
      </c>
      <c r="B170" s="42">
        <f>6/8</f>
        <v>0.75</v>
      </c>
      <c r="N170" s="60">
        <v>13</v>
      </c>
      <c r="O170" s="47">
        <f>9/30</f>
        <v>0.3</v>
      </c>
    </row>
    <row r="171" spans="1:15">
      <c r="A171" s="60">
        <v>14</v>
      </c>
      <c r="B171" s="42">
        <f>4/6</f>
        <v>0.66666666666666663</v>
      </c>
      <c r="N171" s="60">
        <v>14</v>
      </c>
      <c r="O171" s="47">
        <f>9/48</f>
        <v>0.1875</v>
      </c>
    </row>
    <row r="172" spans="1:15">
      <c r="A172" s="60">
        <v>15</v>
      </c>
      <c r="B172" s="42">
        <f>7/13</f>
        <v>0.53846153846153844</v>
      </c>
      <c r="N172" s="60">
        <v>15</v>
      </c>
      <c r="O172" s="47">
        <f>5/5</f>
        <v>1</v>
      </c>
    </row>
    <row r="173" spans="1:15">
      <c r="A173" s="60">
        <v>16</v>
      </c>
      <c r="B173" s="42">
        <f>8/12</f>
        <v>0.66666666666666663</v>
      </c>
      <c r="N173" s="60">
        <v>16</v>
      </c>
      <c r="O173" s="47">
        <f>5/8</f>
        <v>0.625</v>
      </c>
    </row>
    <row r="174" spans="1:15">
      <c r="A174" s="60">
        <v>17</v>
      </c>
      <c r="B174" s="42">
        <f>6/9</f>
        <v>0.66666666666666663</v>
      </c>
      <c r="N174" s="60">
        <v>17</v>
      </c>
      <c r="O174" s="47">
        <f>10/11</f>
        <v>0.90909090909090906</v>
      </c>
    </row>
    <row r="175" spans="1:15">
      <c r="A175" s="60">
        <v>18</v>
      </c>
      <c r="B175" s="42">
        <f>6/11</f>
        <v>0.54545454545454541</v>
      </c>
      <c r="N175" s="60">
        <v>18</v>
      </c>
      <c r="O175" s="47">
        <f>7/16</f>
        <v>0.4375</v>
      </c>
    </row>
    <row r="176" spans="1:15">
      <c r="A176" s="60">
        <v>19</v>
      </c>
      <c r="B176" s="42">
        <f>6/12</f>
        <v>0.5</v>
      </c>
      <c r="N176" s="60">
        <v>19</v>
      </c>
      <c r="O176" s="47">
        <f>9/19</f>
        <v>0.47368421052631576</v>
      </c>
    </row>
    <row r="177" spans="1:15">
      <c r="A177" s="60">
        <v>20</v>
      </c>
      <c r="B177" s="42">
        <f>7/12</f>
        <v>0.58333333333333337</v>
      </c>
      <c r="N177" s="60">
        <v>20</v>
      </c>
      <c r="O177" s="47">
        <f>9/33</f>
        <v>0.27272727272727271</v>
      </c>
    </row>
    <row r="178" spans="1:15">
      <c r="A178" s="60">
        <v>21</v>
      </c>
      <c r="B178" s="42">
        <f>7/9</f>
        <v>0.77777777777777779</v>
      </c>
      <c r="N178" s="60">
        <v>21</v>
      </c>
      <c r="O178" s="47">
        <f>6/10</f>
        <v>0.6</v>
      </c>
    </row>
    <row r="179" spans="1:15">
      <c r="A179" s="60">
        <v>22</v>
      </c>
      <c r="B179" s="42">
        <f>7/14</f>
        <v>0.5</v>
      </c>
      <c r="N179" s="60">
        <v>22</v>
      </c>
      <c r="O179" s="47">
        <f>6/16</f>
        <v>0.375</v>
      </c>
    </row>
    <row r="180" spans="1:15">
      <c r="A180" s="60">
        <v>23</v>
      </c>
      <c r="B180" s="42">
        <f>5/13</f>
        <v>0.38461538461538464</v>
      </c>
      <c r="N180" s="60">
        <v>23</v>
      </c>
      <c r="O180" s="47">
        <f>9/17</f>
        <v>0.52941176470588236</v>
      </c>
    </row>
    <row r="181" spans="1:15">
      <c r="A181" s="60">
        <v>24</v>
      </c>
      <c r="B181" s="42">
        <f>6/9</f>
        <v>0.66666666666666663</v>
      </c>
      <c r="N181" s="60">
        <v>24</v>
      </c>
      <c r="O181" s="47">
        <f>8/43</f>
        <v>0.18604651162790697</v>
      </c>
    </row>
    <row r="182" spans="1:15">
      <c r="A182" t="s">
        <v>76</v>
      </c>
      <c r="B182" s="47">
        <f>145/226</f>
        <v>0.6415929203539823</v>
      </c>
      <c r="N182" t="s">
        <v>76</v>
      </c>
      <c r="O182" s="47">
        <f>186/509</f>
        <v>0.36542239685658151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Level 1-50</vt:lpstr>
      <vt:lpstr>Level 50-100</vt:lpstr>
      <vt:lpstr>Charts</vt:lpstr>
      <vt:lpstr>Bonecrafting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2016-09-22T20:31:32Z</dcterms:created>
  <dcterms:modified xsi:type="dcterms:W3CDTF">2016-10-25T07:31:37Z</dcterms:modified>
</cp:coreProperties>
</file>